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0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847a229143994f/1. Production/Congo 2024-2025/Check-lists de classement/"/>
    </mc:Choice>
  </mc:AlternateContent>
  <xr:revisionPtr revIDLastSave="754" documentId="8_{78AA2276-0675-44CD-B25A-82EDD050502C}" xr6:coauthVersionLast="47" xr6:coauthVersionMax="47" xr10:uidLastSave="{41F308B0-B24B-44AA-8F32-1C54F4DD8A29}"/>
  <workbookProtection workbookAlgorithmName="SHA-512" workbookHashValue="i+NyBnwHFoUuyFE8uCjEJ+0etYm4xviVOS269VlX4JH/OKLtMlV/nQ8nXGpcFsY36wpWZwz4r2YfrtNO8RNezQ==" workbookSaltValue="L9vWutJ4leivDeMvTn3syg==" workbookSpinCount="100000" lockStructure="1"/>
  <bookViews>
    <workbookView xWindow="-120" yWindow="-16320" windowWidth="29040" windowHeight="15720" tabRatio="891" activeTab="43" xr2:uid="{00000000-000D-0000-FFFF-FFFF00000000}"/>
  </bookViews>
  <sheets>
    <sheet name="Accueil" sheetId="41" r:id="rId1"/>
    <sheet name="Identification" sheetId="88" r:id="rId2"/>
    <sheet name="Manuel d'utilisation" sheetId="42" r:id="rId3"/>
    <sheet name="Liste des chapitres" sheetId="24" r:id="rId4"/>
    <sheet name="Résultats" sheetId="99" r:id="rId5"/>
    <sheet name="Information_et_réservation" sheetId="31" r:id="rId6"/>
    <sheet name="Extérieur" sheetId="32" r:id="rId7"/>
    <sheet name="Accueil_et_réception_1" sheetId="29" r:id="rId8"/>
    <sheet name="Accueil_et_réception_2" sheetId="53" r:id="rId9"/>
    <sheet name="Accueil_et_réception_3" sheetId="54" r:id="rId10"/>
    <sheet name="Sanitaires_publiques" sheetId="55" r:id="rId11"/>
    <sheet name="Circulation" sheetId="56" r:id="rId12"/>
    <sheet name="Petit_déjeuner" sheetId="57" r:id="rId13"/>
    <sheet name="Restaurant_principal" sheetId="58" r:id="rId14"/>
    <sheet name="Restaurant_thématique" sheetId="59" r:id="rId15"/>
    <sheet name="Bar" sheetId="60" r:id="rId16"/>
    <sheet name="Salle_de_séminaires" sheetId="61" r:id="rId17"/>
    <sheet name="Bien_être_et_fitness_1" sheetId="62" r:id="rId18"/>
    <sheet name="Bien_être_et_fitness_2" sheetId="63" r:id="rId19"/>
    <sheet name="Piscine_extérieure_1" sheetId="64" r:id="rId20"/>
    <sheet name="Piscine_extérieure_2" sheetId="65" r:id="rId21"/>
    <sheet name="Piscine_pour_enfants" sheetId="66" r:id="rId22"/>
    <sheet name="Autres_animations" sheetId="67" r:id="rId23"/>
    <sheet name="Boutique" sheetId="68" r:id="rId24"/>
    <sheet name="Espaces_dhabitation_1" sheetId="69" r:id="rId25"/>
    <sheet name="Espaces_dhabitation_2" sheetId="70" r:id="rId26"/>
    <sheet name="Espaces_dhabitation_3" sheetId="71" r:id="rId27"/>
    <sheet name="Espaces_dhabitation_4" sheetId="72" r:id="rId28"/>
    <sheet name="SDB_1" sheetId="73" r:id="rId29"/>
    <sheet name="SDB_2" sheetId="74" r:id="rId30"/>
    <sheet name="SDB_3" sheetId="75" r:id="rId31"/>
    <sheet name="Personnel" sheetId="76" r:id="rId32"/>
    <sheet name="EEA" sheetId="77" r:id="rId33"/>
    <sheet name="Grille" sheetId="44" state="hidden" r:id="rId34"/>
    <sheet name="Grille_HT5" sheetId="45" state="hidden" r:id="rId35"/>
    <sheet name="Grille_HT4" sheetId="46" state="hidden" r:id="rId36"/>
    <sheet name="Grille_HT3" sheetId="47" state="hidden" r:id="rId37"/>
    <sheet name="Grille_HT2" sheetId="48" state="hidden" r:id="rId38"/>
    <sheet name="Grille_HT1" sheetId="49" state="hidden" r:id="rId39"/>
    <sheet name="Résultats_5_étoiles" sheetId="89" r:id="rId40"/>
    <sheet name="Résultats_4_étoiles" sheetId="90" r:id="rId41"/>
    <sheet name="Résultats_3_étoiles" sheetId="91" r:id="rId42"/>
    <sheet name="Résultats_2_étoiles" sheetId="92" r:id="rId43"/>
    <sheet name="Résultats_1_étoiles" sheetId="93" r:id="rId44"/>
    <sheet name="Chapitres_Majeurs" sheetId="80" state="hidden" r:id="rId45"/>
    <sheet name="Chapitres_Mineurs" sheetId="81" state="hidden" r:id="rId46"/>
    <sheet name="Backend_5" sheetId="98" state="hidden" r:id="rId47"/>
    <sheet name="Backend_4" sheetId="97" state="hidden" r:id="rId48"/>
    <sheet name="Backend_3" sheetId="96" state="hidden" r:id="rId49"/>
    <sheet name="Backend_2" sheetId="95" state="hidden" r:id="rId50"/>
    <sheet name="Backend_1" sheetId="50" state="hidden" r:id="rId51"/>
  </sheets>
  <definedNames>
    <definedName name="_xlnm._FilterDatabase" localSheetId="33" hidden="1">Grille!$B$1:$Y$495</definedName>
    <definedName name="Grille_consolidée" localSheetId="38">Grille_HT1!$A$1:$X$91</definedName>
    <definedName name="Grille_consolidée" localSheetId="37">Grille_HT2!$A$1:$X$91</definedName>
    <definedName name="Grille_consolidée" localSheetId="36">Grille_HT3!$A$1:$X$91</definedName>
    <definedName name="Grille_consolidée" localSheetId="35">Grille_HT4!$A$1:$X$91</definedName>
    <definedName name="Grille_consolidée">Grille_HT5!$A$1:$X$91</definedName>
    <definedName name="grille_ht1">Grille_HT1!$A$1:$X$91</definedName>
    <definedName name="grille_ht2">Grille_HT2!$A$1:$X$91</definedName>
    <definedName name="grille_ht3">Grille_HT3!$A$1:$X$91</definedName>
    <definedName name="grille_ht4">Grille_HT4!$A$1:$X$91</definedName>
    <definedName name="grille_ht5">Grille_HT5!$A$1:$X$91</definedName>
    <definedName name="Grille_MT">#REF!</definedName>
    <definedName name="Reporting">#REF!</definedName>
    <definedName name="Rubriques">#REF!</definedName>
    <definedName name="_xlnm.Print_Area" localSheetId="0">Accueil!$A$1:$M$25</definedName>
    <definedName name="_xlnm.Print_Area" localSheetId="7">Accueil_et_réception_1!$A$1:$M$60</definedName>
    <definedName name="_xlnm.Print_Area" localSheetId="8">Accueil_et_réception_2!$A$1:$M$49</definedName>
    <definedName name="_xlnm.Print_Area" localSheetId="9">Accueil_et_réception_3!$A$1:$M$42</definedName>
    <definedName name="_xlnm.Print_Area" localSheetId="22">Autres_animations!$A$1:$M$49</definedName>
    <definedName name="_xlnm.Print_Area" localSheetId="15">Bar!$A$1:$N$48</definedName>
    <definedName name="_xlnm.Print_Area" localSheetId="17">Bien_être_et_fitness_1!$A$1:$M$64</definedName>
    <definedName name="_xlnm.Print_Area" localSheetId="18">Bien_être_et_fitness_2!$A$1:$M$50</definedName>
    <definedName name="_xlnm.Print_Area" localSheetId="23">Boutique!$A$1:$M$23</definedName>
    <definedName name="_xlnm.Print_Area" localSheetId="11">Circulation!$A$1:$M$40</definedName>
    <definedName name="_xlnm.Print_Area" localSheetId="32">EEA!$A$1:$M$35</definedName>
    <definedName name="_xlnm.Print_Area" localSheetId="25">Espaces_dhabitation_2!$A$1:$M$69</definedName>
    <definedName name="_xlnm.Print_Area" localSheetId="26">Espaces_dhabitation_3!$A$1:$M$65</definedName>
    <definedName name="_xlnm.Print_Area" localSheetId="33">Grille!$B$1:$V$496</definedName>
    <definedName name="_xlnm.Print_Area" localSheetId="1">Identification!$A$1:$M$44</definedName>
    <definedName name="_xlnm.Print_Area" localSheetId="5">Information_et_réservation!$A$1:$M$27</definedName>
    <definedName name="_xlnm.Print_Area" localSheetId="31">Personnel!$A$1:$M$81</definedName>
    <definedName name="_xlnm.Print_Area" localSheetId="12">Petit_déjeuner!$A$1:$N$44</definedName>
    <definedName name="_xlnm.Print_Area" localSheetId="20">Piscine_extérieure_2!$A$1:$M$34</definedName>
    <definedName name="_xlnm.Print_Area" localSheetId="21">Piscine_pour_enfants!$A$1:$M$33</definedName>
    <definedName name="_xlnm.Print_Area" localSheetId="13">Restaurant_principal!$A$1:$M$48</definedName>
    <definedName name="_xlnm.Print_Area" localSheetId="14">Restaurant_thématique!$A$1:$N$46</definedName>
    <definedName name="_xlnm.Print_Area" localSheetId="4">Résultats!$A$1:$M$29</definedName>
    <definedName name="_xlnm.Print_Area" localSheetId="43">Résultats_1_étoiles!$A$1:$K$57</definedName>
    <definedName name="_xlnm.Print_Area" localSheetId="42">Résultats_2_étoiles!$A$1:$K$62</definedName>
    <definedName name="_xlnm.Print_Area" localSheetId="41">Résultats_3_étoiles!$A$1:$K$77</definedName>
    <definedName name="_xlnm.Print_Area" localSheetId="40">Résultats_4_étoiles!$A$1:$K$94</definedName>
    <definedName name="_xlnm.Print_Area" localSheetId="39">Résultats_5_étoiles!$A$1:$K$94</definedName>
    <definedName name="_xlnm.Print_Area" localSheetId="16">Salle_de_séminaires!$A$1:$M$45</definedName>
    <definedName name="_xlnm.Print_Area" localSheetId="10">Sanitaires_publiques!$A$1:$M$61</definedName>
    <definedName name="_xlnm.Print_Area" localSheetId="28">SDB_1!$A$1:$M$73</definedName>
    <definedName name="_xlnm.Print_Area" localSheetId="29">SDB_2!$A$1:$M$65</definedName>
    <definedName name="_xlnm.Print_Area" localSheetId="30">SDB_3!$A$1:$M$62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93" l="1"/>
  <c r="B17" i="93"/>
  <c r="B19" i="92"/>
  <c r="B41" i="91"/>
  <c r="E50" i="93"/>
  <c r="E49" i="93"/>
  <c r="E48" i="93"/>
  <c r="B48" i="93"/>
  <c r="E47" i="93"/>
  <c r="E46" i="93"/>
  <c r="E45" i="93"/>
  <c r="B45" i="93"/>
  <c r="E44" i="93"/>
  <c r="E43" i="93"/>
  <c r="E42" i="93"/>
  <c r="E41" i="93"/>
  <c r="E40" i="93"/>
  <c r="E39" i="93"/>
  <c r="E38" i="93"/>
  <c r="B38" i="93"/>
  <c r="E37" i="93"/>
  <c r="E36" i="93"/>
  <c r="E35" i="93"/>
  <c r="E34" i="93"/>
  <c r="E33" i="93"/>
  <c r="E32" i="93"/>
  <c r="E31" i="93"/>
  <c r="E30" i="93"/>
  <c r="E29" i="93"/>
  <c r="B29" i="93"/>
  <c r="E28" i="93"/>
  <c r="E27" i="93"/>
  <c r="B27" i="93"/>
  <c r="E26" i="93"/>
  <c r="B26" i="93"/>
  <c r="E25" i="93"/>
  <c r="E24" i="93"/>
  <c r="E23" i="93"/>
  <c r="B23" i="93"/>
  <c r="E22" i="93"/>
  <c r="E21" i="93"/>
  <c r="E20" i="93"/>
  <c r="E19" i="93"/>
  <c r="B19" i="93"/>
  <c r="E18" i="93"/>
  <c r="E17" i="93"/>
  <c r="I16" i="93"/>
  <c r="G16" i="93"/>
  <c r="E16" i="93"/>
  <c r="B16" i="93"/>
  <c r="E55" i="92"/>
  <c r="E54" i="92"/>
  <c r="E53" i="92"/>
  <c r="B53" i="92"/>
  <c r="E52" i="92"/>
  <c r="E51" i="92"/>
  <c r="E50" i="92"/>
  <c r="B50" i="92"/>
  <c r="E49" i="92"/>
  <c r="E48" i="92"/>
  <c r="E47" i="92"/>
  <c r="E46" i="92"/>
  <c r="E45" i="92"/>
  <c r="E44" i="92"/>
  <c r="E43" i="92"/>
  <c r="B43" i="92"/>
  <c r="E42" i="92"/>
  <c r="E41" i="92"/>
  <c r="E40" i="92"/>
  <c r="E39" i="92"/>
  <c r="E38" i="92"/>
  <c r="E37" i="92"/>
  <c r="E36" i="92"/>
  <c r="E35" i="92"/>
  <c r="E34" i="92"/>
  <c r="E33" i="92"/>
  <c r="B33" i="92"/>
  <c r="E32" i="92"/>
  <c r="E31" i="92"/>
  <c r="B31" i="92"/>
  <c r="E30" i="92"/>
  <c r="E29" i="92"/>
  <c r="B29" i="92"/>
  <c r="E28" i="92"/>
  <c r="E27" i="92"/>
  <c r="B27" i="92"/>
  <c r="E26" i="92"/>
  <c r="E25" i="92"/>
  <c r="E24" i="92"/>
  <c r="B24" i="92"/>
  <c r="E23" i="92"/>
  <c r="E22" i="92"/>
  <c r="E21" i="92"/>
  <c r="E20" i="92"/>
  <c r="B20" i="92"/>
  <c r="E19" i="92"/>
  <c r="E18" i="92"/>
  <c r="E17" i="92"/>
  <c r="B17" i="92"/>
  <c r="I16" i="92"/>
  <c r="G16" i="92"/>
  <c r="E16" i="92"/>
  <c r="B16" i="92"/>
  <c r="E70" i="91"/>
  <c r="E69" i="91"/>
  <c r="E68" i="91"/>
  <c r="B68" i="91"/>
  <c r="E67" i="91"/>
  <c r="E66" i="91"/>
  <c r="E65" i="91"/>
  <c r="B65" i="91"/>
  <c r="E64" i="91"/>
  <c r="E63" i="91"/>
  <c r="E62" i="91"/>
  <c r="E61" i="91"/>
  <c r="E60" i="91"/>
  <c r="E59" i="91"/>
  <c r="E58" i="91"/>
  <c r="B58" i="91"/>
  <c r="E57" i="91"/>
  <c r="E56" i="91"/>
  <c r="E55" i="91"/>
  <c r="E54" i="91"/>
  <c r="E53" i="91"/>
  <c r="E52" i="91"/>
  <c r="E51" i="91"/>
  <c r="E50" i="91"/>
  <c r="E49" i="91"/>
  <c r="E48" i="91"/>
  <c r="E47" i="91"/>
  <c r="B47" i="91"/>
  <c r="E46" i="91"/>
  <c r="E45" i="91"/>
  <c r="E44" i="91"/>
  <c r="E43" i="91"/>
  <c r="B43" i="91"/>
  <c r="E42" i="91"/>
  <c r="E41" i="91"/>
  <c r="E40" i="91"/>
  <c r="E39" i="91"/>
  <c r="E38" i="91"/>
  <c r="B38" i="91"/>
  <c r="E37" i="91"/>
  <c r="E36" i="91"/>
  <c r="B36" i="91"/>
  <c r="E35" i="91"/>
  <c r="E34" i="91"/>
  <c r="B34" i="91"/>
  <c r="E33" i="91"/>
  <c r="E32" i="91"/>
  <c r="B32" i="91"/>
  <c r="E31" i="91"/>
  <c r="E30" i="91"/>
  <c r="B30" i="91"/>
  <c r="E29" i="91"/>
  <c r="E28" i="91"/>
  <c r="B28" i="91"/>
  <c r="E27" i="91"/>
  <c r="E26" i="91"/>
  <c r="E25" i="91"/>
  <c r="B25" i="91"/>
  <c r="E24" i="91"/>
  <c r="E23" i="91"/>
  <c r="E22" i="91"/>
  <c r="E21" i="91"/>
  <c r="B21" i="91"/>
  <c r="E20" i="91"/>
  <c r="E19" i="91"/>
  <c r="B19" i="91"/>
  <c r="E18" i="91"/>
  <c r="E17" i="91"/>
  <c r="B17" i="91"/>
  <c r="I16" i="91"/>
  <c r="G16" i="91"/>
  <c r="E16" i="91"/>
  <c r="B16" i="91"/>
  <c r="E87" i="90"/>
  <c r="E86" i="90"/>
  <c r="E85" i="90"/>
  <c r="B85" i="90"/>
  <c r="E84" i="90"/>
  <c r="E83" i="90"/>
  <c r="E82" i="90"/>
  <c r="B82" i="90"/>
  <c r="E81" i="90"/>
  <c r="E80" i="90"/>
  <c r="E79" i="90"/>
  <c r="E78" i="90"/>
  <c r="E77" i="90"/>
  <c r="E76" i="90"/>
  <c r="E75" i="90"/>
  <c r="E74" i="90"/>
  <c r="B74" i="90"/>
  <c r="E73" i="90"/>
  <c r="E72" i="90"/>
  <c r="E71" i="90"/>
  <c r="E70" i="90"/>
  <c r="E69" i="90"/>
  <c r="E68" i="90"/>
  <c r="E67" i="90"/>
  <c r="E66" i="90"/>
  <c r="E65" i="90"/>
  <c r="E64" i="90"/>
  <c r="E63" i="90"/>
  <c r="B63" i="90"/>
  <c r="E62" i="90"/>
  <c r="B62" i="90"/>
  <c r="E61" i="90"/>
  <c r="E60" i="90"/>
  <c r="E59" i="90"/>
  <c r="E58" i="90"/>
  <c r="E57" i="90"/>
  <c r="B57" i="90"/>
  <c r="E56" i="90"/>
  <c r="B56" i="90"/>
  <c r="E55" i="90"/>
  <c r="E54" i="90"/>
  <c r="E53" i="90"/>
  <c r="E52" i="90"/>
  <c r="E51" i="90"/>
  <c r="B51" i="90"/>
  <c r="E50" i="90"/>
  <c r="E49" i="90"/>
  <c r="E48" i="90"/>
  <c r="E47" i="90"/>
  <c r="E46" i="90"/>
  <c r="E45" i="90"/>
  <c r="E44" i="90"/>
  <c r="E43" i="90"/>
  <c r="B43" i="90"/>
  <c r="E42" i="90"/>
  <c r="E41" i="90"/>
  <c r="E40" i="90"/>
  <c r="B40" i="90"/>
  <c r="E39" i="90"/>
  <c r="E38" i="90"/>
  <c r="B38" i="90"/>
  <c r="E37" i="90"/>
  <c r="E36" i="90"/>
  <c r="B36" i="90"/>
  <c r="E35" i="90"/>
  <c r="E34" i="90"/>
  <c r="B34" i="90"/>
  <c r="E33" i="90"/>
  <c r="E32" i="90"/>
  <c r="B32" i="90"/>
  <c r="E31" i="90"/>
  <c r="E30" i="90"/>
  <c r="B30" i="90"/>
  <c r="E29" i="90"/>
  <c r="E28" i="90"/>
  <c r="E27" i="90"/>
  <c r="B27" i="90"/>
  <c r="E26" i="90"/>
  <c r="E25" i="90"/>
  <c r="E24" i="90"/>
  <c r="E23" i="90"/>
  <c r="E22" i="90"/>
  <c r="B22" i="90"/>
  <c r="E21" i="90"/>
  <c r="E20" i="90"/>
  <c r="E19" i="90"/>
  <c r="B19" i="90"/>
  <c r="E18" i="90"/>
  <c r="E17" i="90"/>
  <c r="B17" i="90"/>
  <c r="I16" i="90"/>
  <c r="G16" i="90"/>
  <c r="E16" i="90"/>
  <c r="B16" i="90"/>
  <c r="E87" i="89"/>
  <c r="E86" i="89"/>
  <c r="E85" i="89"/>
  <c r="B85" i="89"/>
  <c r="E84" i="89"/>
  <c r="E83" i="89"/>
  <c r="E82" i="89"/>
  <c r="B82" i="89"/>
  <c r="E81" i="89"/>
  <c r="E80" i="89"/>
  <c r="E79" i="89"/>
  <c r="E78" i="89"/>
  <c r="E77" i="89"/>
  <c r="E76" i="89"/>
  <c r="E75" i="89"/>
  <c r="E74" i="89"/>
  <c r="B74" i="89"/>
  <c r="E73" i="89"/>
  <c r="E72" i="89"/>
  <c r="E71" i="89"/>
  <c r="E70" i="89"/>
  <c r="E69" i="89"/>
  <c r="E68" i="89"/>
  <c r="E67" i="89"/>
  <c r="E66" i="89"/>
  <c r="E65" i="89"/>
  <c r="E64" i="89"/>
  <c r="E63" i="89"/>
  <c r="B63" i="89"/>
  <c r="E62" i="89"/>
  <c r="B62" i="89"/>
  <c r="E61" i="89"/>
  <c r="E60" i="89"/>
  <c r="E59" i="89"/>
  <c r="E58" i="89"/>
  <c r="E57" i="89"/>
  <c r="B57" i="89"/>
  <c r="E56" i="89"/>
  <c r="B56" i="89"/>
  <c r="E55" i="89"/>
  <c r="E54" i="89"/>
  <c r="E53" i="89"/>
  <c r="E52" i="89"/>
  <c r="E51" i="89"/>
  <c r="B51" i="89"/>
  <c r="E50" i="89"/>
  <c r="E49" i="89"/>
  <c r="E48" i="89"/>
  <c r="E47" i="89"/>
  <c r="E46" i="89"/>
  <c r="E45" i="89"/>
  <c r="E44" i="89"/>
  <c r="E43" i="89"/>
  <c r="B43" i="89"/>
  <c r="E42" i="89"/>
  <c r="E41" i="89"/>
  <c r="E40" i="89"/>
  <c r="B40" i="89"/>
  <c r="E39" i="89"/>
  <c r="E38" i="89"/>
  <c r="B38" i="89"/>
  <c r="E37" i="89"/>
  <c r="E36" i="89"/>
  <c r="B36" i="89"/>
  <c r="E35" i="89"/>
  <c r="E34" i="89"/>
  <c r="B34" i="89"/>
  <c r="E33" i="89"/>
  <c r="E32" i="89"/>
  <c r="B32" i="89"/>
  <c r="E31" i="89"/>
  <c r="E30" i="89"/>
  <c r="B30" i="89"/>
  <c r="E29" i="89"/>
  <c r="E28" i="89"/>
  <c r="E27" i="89"/>
  <c r="B27" i="89"/>
  <c r="E26" i="89"/>
  <c r="E25" i="89"/>
  <c r="E24" i="89"/>
  <c r="E23" i="89"/>
  <c r="E22" i="89"/>
  <c r="B22" i="89"/>
  <c r="E21" i="89"/>
  <c r="E20" i="89"/>
  <c r="E19" i="89"/>
  <c r="B19" i="89"/>
  <c r="E18" i="89"/>
  <c r="E17" i="89"/>
  <c r="B17" i="89"/>
  <c r="I16" i="89"/>
  <c r="G16" i="89"/>
  <c r="E16" i="89"/>
  <c r="B16" i="89"/>
  <c r="N3" i="50"/>
  <c r="N3" i="95"/>
  <c r="N3" i="96"/>
  <c r="N3" i="97"/>
  <c r="N3" i="98"/>
  <c r="O3" i="50"/>
  <c r="Y24" i="49"/>
  <c r="Y26" i="49"/>
  <c r="Y27" i="49"/>
  <c r="Y29" i="49"/>
  <c r="Y30" i="49"/>
  <c r="Y32" i="49"/>
  <c r="Y33" i="49"/>
  <c r="Y35" i="49"/>
  <c r="Y36" i="49"/>
  <c r="Y37" i="49"/>
  <c r="Y39" i="49"/>
  <c r="Y40" i="49"/>
  <c r="Y41" i="49"/>
  <c r="Y42" i="49"/>
  <c r="Y43" i="49"/>
  <c r="Y44" i="49"/>
  <c r="Y45" i="49"/>
  <c r="Y46" i="49"/>
  <c r="Y48" i="49"/>
  <c r="Y49" i="49"/>
  <c r="Y50" i="49"/>
  <c r="Y51" i="49"/>
  <c r="Y52" i="49"/>
  <c r="Y54" i="49"/>
  <c r="Y56" i="49"/>
  <c r="Y57" i="49"/>
  <c r="Y58" i="49"/>
  <c r="Y59" i="49"/>
  <c r="Y60" i="49"/>
  <c r="Y62" i="49"/>
  <c r="Y64" i="49"/>
  <c r="Y65" i="49"/>
  <c r="Y66" i="49"/>
  <c r="Y67" i="49"/>
  <c r="Y68" i="49"/>
  <c r="Y69" i="49"/>
  <c r="Y70" i="49"/>
  <c r="Y71" i="49"/>
  <c r="Y72" i="49"/>
  <c r="Y73" i="49"/>
  <c r="Y74" i="49"/>
  <c r="Y76" i="49"/>
  <c r="Y77" i="49"/>
  <c r="Y78" i="49"/>
  <c r="Y79" i="49"/>
  <c r="Y80" i="49"/>
  <c r="Y81" i="49"/>
  <c r="Y82" i="49"/>
  <c r="Y83" i="49"/>
  <c r="Y85" i="49"/>
  <c r="Y86" i="49"/>
  <c r="Y87" i="49"/>
  <c r="Y89" i="49"/>
  <c r="Y90" i="49"/>
  <c r="Y91" i="49"/>
  <c r="Y21" i="49"/>
  <c r="Y17" i="49"/>
  <c r="Y18" i="49"/>
  <c r="Y11" i="49"/>
  <c r="Y12" i="49"/>
  <c r="Y13" i="49"/>
  <c r="Y14" i="49"/>
  <c r="Y7" i="49"/>
  <c r="Y8" i="49"/>
  <c r="Y4" i="49"/>
  <c r="Y24" i="48"/>
  <c r="Y26" i="48"/>
  <c r="Y27" i="48"/>
  <c r="Y29" i="48"/>
  <c r="Y30" i="48"/>
  <c r="Y32" i="48"/>
  <c r="Y33" i="48"/>
  <c r="Y35" i="48"/>
  <c r="Y36" i="48"/>
  <c r="Y37" i="48"/>
  <c r="Y39" i="48"/>
  <c r="Y40" i="48"/>
  <c r="Y41" i="48"/>
  <c r="Y42" i="48"/>
  <c r="Y43" i="48"/>
  <c r="Y44" i="48"/>
  <c r="Y45" i="48"/>
  <c r="Y46" i="48"/>
  <c r="Y48" i="48"/>
  <c r="Y49" i="48"/>
  <c r="Y50" i="48"/>
  <c r="Y51" i="48"/>
  <c r="Y52" i="48"/>
  <c r="Y54" i="48"/>
  <c r="Y56" i="48"/>
  <c r="Y57" i="48"/>
  <c r="Y58" i="48"/>
  <c r="Y59" i="48"/>
  <c r="Y60" i="48"/>
  <c r="Y62" i="48"/>
  <c r="Y64" i="48"/>
  <c r="Y65" i="48"/>
  <c r="Y66" i="48"/>
  <c r="Y67" i="48"/>
  <c r="Y68" i="48"/>
  <c r="Y69" i="48"/>
  <c r="Y70" i="48"/>
  <c r="Y71" i="48"/>
  <c r="Y72" i="48"/>
  <c r="Y73" i="48"/>
  <c r="Y74" i="48"/>
  <c r="Y76" i="48"/>
  <c r="Y77" i="48"/>
  <c r="Y78" i="48"/>
  <c r="Y79" i="48"/>
  <c r="Y80" i="48"/>
  <c r="Y81" i="48"/>
  <c r="Y82" i="48"/>
  <c r="Y83" i="48"/>
  <c r="Y85" i="48"/>
  <c r="Y86" i="48"/>
  <c r="Y87" i="48"/>
  <c r="Y89" i="48"/>
  <c r="Y90" i="48"/>
  <c r="Y91" i="48"/>
  <c r="Y21" i="48"/>
  <c r="Y17" i="48"/>
  <c r="Y18" i="48"/>
  <c r="Y11" i="48"/>
  <c r="Y12" i="48"/>
  <c r="Y13" i="48"/>
  <c r="Y14" i="48"/>
  <c r="Y7" i="48"/>
  <c r="Y8" i="48"/>
  <c r="Y4" i="48"/>
  <c r="Y24" i="47"/>
  <c r="Y26" i="47"/>
  <c r="Y27" i="47"/>
  <c r="Y29" i="47"/>
  <c r="Y30" i="47"/>
  <c r="Y32" i="47"/>
  <c r="Y33" i="47"/>
  <c r="Y35" i="47"/>
  <c r="Y36" i="47"/>
  <c r="Y37" i="47"/>
  <c r="Y39" i="47"/>
  <c r="Y40" i="47"/>
  <c r="Y41" i="47"/>
  <c r="Y42" i="47"/>
  <c r="Y43" i="47"/>
  <c r="Y44" i="47"/>
  <c r="Y45" i="47"/>
  <c r="Y46" i="47"/>
  <c r="Y48" i="47"/>
  <c r="Y49" i="47"/>
  <c r="Y50" i="47"/>
  <c r="Y51" i="47"/>
  <c r="Y52" i="47"/>
  <c r="Y54" i="47"/>
  <c r="Y56" i="47"/>
  <c r="Y57" i="47"/>
  <c r="Y58" i="47"/>
  <c r="Y59" i="47"/>
  <c r="Y60" i="47"/>
  <c r="Y62" i="47"/>
  <c r="Y64" i="47"/>
  <c r="Y65" i="47"/>
  <c r="Y66" i="47"/>
  <c r="Y67" i="47"/>
  <c r="Y68" i="47"/>
  <c r="Y69" i="47"/>
  <c r="Y70" i="47"/>
  <c r="Y71" i="47"/>
  <c r="Y72" i="47"/>
  <c r="Y73" i="47"/>
  <c r="Y74" i="47"/>
  <c r="Y76" i="47"/>
  <c r="Y77" i="47"/>
  <c r="Y78" i="47"/>
  <c r="Y79" i="47"/>
  <c r="Y80" i="47"/>
  <c r="Y81" i="47"/>
  <c r="Y82" i="47"/>
  <c r="Y83" i="47"/>
  <c r="Y85" i="47"/>
  <c r="Y86" i="47"/>
  <c r="Y87" i="47"/>
  <c r="Y89" i="47"/>
  <c r="Y90" i="47"/>
  <c r="Y91" i="47"/>
  <c r="Y21" i="47"/>
  <c r="Y17" i="47"/>
  <c r="Y18" i="47"/>
  <c r="Y11" i="47"/>
  <c r="Y12" i="47"/>
  <c r="Y13" i="47"/>
  <c r="Y14" i="47"/>
  <c r="Y7" i="47"/>
  <c r="Y8" i="47"/>
  <c r="Y4" i="47"/>
  <c r="Y24" i="46"/>
  <c r="Y26" i="46"/>
  <c r="Y27" i="46"/>
  <c r="Y29" i="46"/>
  <c r="Y30" i="46"/>
  <c r="Y32" i="46"/>
  <c r="Y33" i="46"/>
  <c r="Y35" i="46"/>
  <c r="Y36" i="46"/>
  <c r="Y37" i="46"/>
  <c r="Y39" i="46"/>
  <c r="Y40" i="46"/>
  <c r="Y41" i="46"/>
  <c r="Y42" i="46"/>
  <c r="Y43" i="46"/>
  <c r="Y44" i="46"/>
  <c r="Y45" i="46"/>
  <c r="Y46" i="46"/>
  <c r="Y48" i="46"/>
  <c r="Y49" i="46"/>
  <c r="Y50" i="46"/>
  <c r="Y51" i="46"/>
  <c r="Y52" i="46"/>
  <c r="Y54" i="46"/>
  <c r="Y56" i="46"/>
  <c r="Y57" i="46"/>
  <c r="Y58" i="46"/>
  <c r="Y59" i="46"/>
  <c r="Y60" i="46"/>
  <c r="Y62" i="46"/>
  <c r="Y64" i="46"/>
  <c r="Y65" i="46"/>
  <c r="Y66" i="46"/>
  <c r="Y67" i="46"/>
  <c r="Y68" i="46"/>
  <c r="Y69" i="46"/>
  <c r="Y70" i="46"/>
  <c r="Y71" i="46"/>
  <c r="Y72" i="46"/>
  <c r="Y73" i="46"/>
  <c r="Y74" i="46"/>
  <c r="Y76" i="46"/>
  <c r="Y77" i="46"/>
  <c r="Y78" i="46"/>
  <c r="Y79" i="46"/>
  <c r="Y80" i="46"/>
  <c r="Y81" i="46"/>
  <c r="Y82" i="46"/>
  <c r="Y83" i="46"/>
  <c r="Y85" i="46"/>
  <c r="Y86" i="46"/>
  <c r="Y87" i="46"/>
  <c r="Y89" i="46"/>
  <c r="Y90" i="46"/>
  <c r="Y91" i="46"/>
  <c r="Y21" i="46"/>
  <c r="Y17" i="46"/>
  <c r="Y18" i="46"/>
  <c r="Y11" i="46"/>
  <c r="Y12" i="46"/>
  <c r="Y13" i="46"/>
  <c r="Y14" i="46"/>
  <c r="Y7" i="46"/>
  <c r="Y8" i="46"/>
  <c r="Y4" i="46"/>
  <c r="Y7" i="45"/>
  <c r="Y8" i="45"/>
  <c r="Y11" i="45"/>
  <c r="Y12" i="45"/>
  <c r="Y13" i="45"/>
  <c r="Y14" i="45"/>
  <c r="Y17" i="45"/>
  <c r="Y18" i="45"/>
  <c r="Y21" i="45"/>
  <c r="Y24" i="45"/>
  <c r="Y26" i="45"/>
  <c r="Y4" i="45"/>
  <c r="Y27" i="45"/>
  <c r="Y29" i="45"/>
  <c r="Y30" i="45"/>
  <c r="Y32" i="45"/>
  <c r="Y33" i="45"/>
  <c r="Y35" i="45"/>
  <c r="Y36" i="45"/>
  <c r="Y37" i="45"/>
  <c r="Y39" i="45"/>
  <c r="Y40" i="45"/>
  <c r="Y41" i="45"/>
  <c r="Y42" i="45"/>
  <c r="Y43" i="45"/>
  <c r="Y44" i="45"/>
  <c r="Y45" i="45"/>
  <c r="Y46" i="45"/>
  <c r="Y48" i="45"/>
  <c r="Y49" i="45"/>
  <c r="Y50" i="45"/>
  <c r="Y51" i="45"/>
  <c r="Y52" i="45"/>
  <c r="Y54" i="45"/>
  <c r="Y56" i="45"/>
  <c r="Y57" i="45"/>
  <c r="Y58" i="45"/>
  <c r="Y59" i="45"/>
  <c r="Y60" i="45"/>
  <c r="Y62" i="45"/>
  <c r="Y64" i="45"/>
  <c r="Y65" i="45"/>
  <c r="Y66" i="45"/>
  <c r="Y67" i="45"/>
  <c r="Y68" i="45"/>
  <c r="Y69" i="45"/>
  <c r="Y70" i="45"/>
  <c r="Y71" i="45"/>
  <c r="Y72" i="45"/>
  <c r="Y73" i="45"/>
  <c r="Y74" i="45"/>
  <c r="Y76" i="45"/>
  <c r="Y77" i="45"/>
  <c r="Y78" i="45"/>
  <c r="Y79" i="45"/>
  <c r="Y80" i="45"/>
  <c r="Y81" i="45"/>
  <c r="Y82" i="45"/>
  <c r="Y83" i="45"/>
  <c r="Y85" i="45"/>
  <c r="Y86" i="45"/>
  <c r="Y87" i="45"/>
  <c r="Y89" i="45"/>
  <c r="Y90" i="45"/>
  <c r="Y91" i="45"/>
  <c r="P119" i="44"/>
  <c r="P120" i="44"/>
  <c r="E87" i="49"/>
  <c r="I86" i="49"/>
  <c r="I81" i="49"/>
  <c r="I80" i="49"/>
  <c r="I79" i="49"/>
  <c r="E79" i="49"/>
  <c r="I73" i="49"/>
  <c r="E73" i="49"/>
  <c r="I72" i="49"/>
  <c r="I71" i="49"/>
  <c r="E71" i="49"/>
  <c r="I67" i="49"/>
  <c r="I62" i="49"/>
  <c r="E62" i="49"/>
  <c r="I60" i="49"/>
  <c r="E60" i="49"/>
  <c r="I59" i="49"/>
  <c r="E59" i="49"/>
  <c r="I58" i="49"/>
  <c r="E58" i="49"/>
  <c r="I57" i="49"/>
  <c r="E57" i="49"/>
  <c r="I56" i="49"/>
  <c r="E56" i="49"/>
  <c r="I54" i="49"/>
  <c r="E54" i="49"/>
  <c r="I52" i="49"/>
  <c r="E52" i="49"/>
  <c r="I51" i="49"/>
  <c r="E51" i="49"/>
  <c r="I50" i="49"/>
  <c r="E50" i="49"/>
  <c r="I49" i="49"/>
  <c r="E49" i="49"/>
  <c r="I48" i="49"/>
  <c r="E48" i="49"/>
  <c r="I46" i="49"/>
  <c r="E46" i="49"/>
  <c r="I45" i="49"/>
  <c r="E45" i="49"/>
  <c r="I44" i="49"/>
  <c r="E44" i="49"/>
  <c r="I43" i="49"/>
  <c r="E43" i="49"/>
  <c r="I42" i="49"/>
  <c r="E42" i="49"/>
  <c r="I41" i="49"/>
  <c r="E41" i="49"/>
  <c r="I40" i="49"/>
  <c r="E40" i="49"/>
  <c r="I39" i="49"/>
  <c r="E39" i="49"/>
  <c r="I37" i="49"/>
  <c r="E37" i="49"/>
  <c r="I36" i="49"/>
  <c r="E36" i="49"/>
  <c r="I35" i="49"/>
  <c r="E35" i="49"/>
  <c r="I33" i="49"/>
  <c r="E33" i="49"/>
  <c r="I32" i="49"/>
  <c r="E32" i="49"/>
  <c r="I30" i="49"/>
  <c r="E30" i="49"/>
  <c r="I29" i="49"/>
  <c r="E29" i="49"/>
  <c r="I27" i="49"/>
  <c r="E27" i="49"/>
  <c r="I26" i="49"/>
  <c r="E26" i="49"/>
  <c r="E24" i="49"/>
  <c r="E23" i="49"/>
  <c r="I21" i="49"/>
  <c r="E21" i="49"/>
  <c r="E14" i="49"/>
  <c r="I13" i="49"/>
  <c r="E13" i="49"/>
  <c r="I10" i="49"/>
  <c r="I8" i="49"/>
  <c r="I7" i="49"/>
  <c r="E7" i="49"/>
  <c r="I6" i="49"/>
  <c r="E6" i="49"/>
  <c r="E4" i="49"/>
  <c r="I3" i="49"/>
  <c r="E3" i="49"/>
  <c r="D87" i="49"/>
  <c r="C87" i="49"/>
  <c r="H86" i="49"/>
  <c r="G86" i="49"/>
  <c r="H81" i="49"/>
  <c r="G81" i="49"/>
  <c r="H80" i="49"/>
  <c r="G80" i="49"/>
  <c r="H79" i="49"/>
  <c r="G79" i="49"/>
  <c r="D79" i="49"/>
  <c r="C79" i="49"/>
  <c r="H73" i="49"/>
  <c r="G73" i="49"/>
  <c r="D73" i="49"/>
  <c r="C73" i="49"/>
  <c r="H72" i="49"/>
  <c r="G72" i="49"/>
  <c r="H71" i="49"/>
  <c r="G71" i="49"/>
  <c r="D71" i="49"/>
  <c r="C71" i="49"/>
  <c r="H67" i="49"/>
  <c r="G67" i="49"/>
  <c r="H62" i="49"/>
  <c r="G62" i="49"/>
  <c r="D62" i="49"/>
  <c r="C62" i="49"/>
  <c r="H60" i="49"/>
  <c r="G60" i="49"/>
  <c r="D60" i="49"/>
  <c r="C60" i="49"/>
  <c r="H59" i="49"/>
  <c r="G59" i="49"/>
  <c r="D59" i="49"/>
  <c r="C59" i="49"/>
  <c r="H58" i="49"/>
  <c r="G58" i="49"/>
  <c r="D58" i="49"/>
  <c r="C58" i="49"/>
  <c r="H57" i="49"/>
  <c r="G57" i="49"/>
  <c r="D57" i="49"/>
  <c r="C57" i="49"/>
  <c r="H56" i="49"/>
  <c r="G56" i="49"/>
  <c r="D56" i="49"/>
  <c r="C56" i="49"/>
  <c r="H54" i="49"/>
  <c r="G54" i="49"/>
  <c r="D54" i="49"/>
  <c r="C54" i="49"/>
  <c r="H52" i="49"/>
  <c r="G52" i="49"/>
  <c r="D52" i="49"/>
  <c r="C52" i="49"/>
  <c r="H51" i="49"/>
  <c r="G51" i="49"/>
  <c r="D51" i="49"/>
  <c r="C51" i="49"/>
  <c r="H50" i="49"/>
  <c r="G50" i="49"/>
  <c r="D50" i="49"/>
  <c r="C50" i="49"/>
  <c r="H49" i="49"/>
  <c r="G49" i="49"/>
  <c r="D49" i="49"/>
  <c r="C49" i="49"/>
  <c r="H48" i="49"/>
  <c r="G48" i="49"/>
  <c r="D48" i="49"/>
  <c r="C48" i="49"/>
  <c r="H46" i="49"/>
  <c r="G46" i="49"/>
  <c r="D46" i="49"/>
  <c r="C46" i="49"/>
  <c r="H45" i="49"/>
  <c r="G45" i="49"/>
  <c r="D45" i="49"/>
  <c r="C45" i="49"/>
  <c r="H44" i="49"/>
  <c r="G44" i="49"/>
  <c r="D44" i="49"/>
  <c r="C44" i="49"/>
  <c r="H43" i="49"/>
  <c r="G43" i="49"/>
  <c r="D43" i="49"/>
  <c r="C43" i="49"/>
  <c r="H42" i="49"/>
  <c r="G42" i="49"/>
  <c r="D42" i="49"/>
  <c r="C42" i="49"/>
  <c r="H41" i="49"/>
  <c r="G41" i="49"/>
  <c r="D41" i="49"/>
  <c r="C41" i="49"/>
  <c r="H40" i="49"/>
  <c r="G40" i="49"/>
  <c r="D40" i="49"/>
  <c r="C40" i="49"/>
  <c r="H39" i="49"/>
  <c r="G39" i="49"/>
  <c r="D39" i="49"/>
  <c r="C39" i="49"/>
  <c r="H37" i="49"/>
  <c r="G37" i="49"/>
  <c r="D37" i="49"/>
  <c r="C37" i="49"/>
  <c r="H36" i="49"/>
  <c r="G36" i="49"/>
  <c r="D36" i="49"/>
  <c r="C36" i="49"/>
  <c r="H35" i="49"/>
  <c r="G35" i="49"/>
  <c r="D35" i="49"/>
  <c r="C35" i="49"/>
  <c r="H33" i="49"/>
  <c r="G33" i="49"/>
  <c r="D33" i="49"/>
  <c r="C33" i="49"/>
  <c r="H32" i="49"/>
  <c r="G32" i="49"/>
  <c r="D32" i="49"/>
  <c r="C32" i="49"/>
  <c r="H30" i="49"/>
  <c r="G30" i="49"/>
  <c r="D30" i="49"/>
  <c r="C30" i="49"/>
  <c r="H29" i="49"/>
  <c r="G29" i="49"/>
  <c r="D29" i="49"/>
  <c r="C29" i="49"/>
  <c r="H27" i="49"/>
  <c r="G27" i="49"/>
  <c r="D27" i="49"/>
  <c r="C27" i="49"/>
  <c r="H26" i="49"/>
  <c r="G26" i="49"/>
  <c r="D26" i="49"/>
  <c r="C26" i="49"/>
  <c r="D24" i="49"/>
  <c r="C24" i="49"/>
  <c r="D23" i="49"/>
  <c r="C23" i="49"/>
  <c r="H21" i="49"/>
  <c r="G21" i="49"/>
  <c r="D21" i="49"/>
  <c r="C21" i="49"/>
  <c r="D14" i="49"/>
  <c r="C14" i="49"/>
  <c r="H13" i="49"/>
  <c r="G13" i="49"/>
  <c r="D13" i="49"/>
  <c r="C13" i="49"/>
  <c r="H10" i="49"/>
  <c r="G10" i="49"/>
  <c r="H8" i="49"/>
  <c r="G8" i="49"/>
  <c r="H7" i="49"/>
  <c r="G7" i="49"/>
  <c r="D7" i="49"/>
  <c r="C7" i="49"/>
  <c r="H6" i="49"/>
  <c r="G6" i="49"/>
  <c r="D6" i="49"/>
  <c r="C6" i="49"/>
  <c r="D4" i="49"/>
  <c r="C4" i="49"/>
  <c r="H3" i="49"/>
  <c r="G3" i="49"/>
  <c r="D3" i="49"/>
  <c r="C3" i="49"/>
  <c r="E87" i="48"/>
  <c r="D87" i="48"/>
  <c r="C87" i="48"/>
  <c r="I86" i="48"/>
  <c r="H86" i="48"/>
  <c r="G86" i="48"/>
  <c r="I81" i="48"/>
  <c r="H81" i="48"/>
  <c r="G81" i="48"/>
  <c r="I80" i="48"/>
  <c r="H80" i="48"/>
  <c r="G80" i="48"/>
  <c r="I79" i="48"/>
  <c r="H79" i="48"/>
  <c r="G79" i="48"/>
  <c r="E79" i="48"/>
  <c r="D79" i="48"/>
  <c r="C79" i="48"/>
  <c r="I73" i="48"/>
  <c r="H73" i="48"/>
  <c r="G73" i="48"/>
  <c r="E73" i="48"/>
  <c r="D73" i="48"/>
  <c r="C73" i="48"/>
  <c r="E71" i="48"/>
  <c r="D71" i="48"/>
  <c r="C71" i="48"/>
  <c r="I70" i="48"/>
  <c r="H70" i="48"/>
  <c r="G70" i="48"/>
  <c r="I66" i="48"/>
  <c r="H66" i="48"/>
  <c r="G66" i="48"/>
  <c r="I62" i="48"/>
  <c r="H62" i="48"/>
  <c r="G62" i="48"/>
  <c r="E62" i="48"/>
  <c r="D62" i="48"/>
  <c r="C62" i="48"/>
  <c r="I60" i="48"/>
  <c r="H60" i="48"/>
  <c r="G60" i="48"/>
  <c r="E60" i="48"/>
  <c r="D60" i="48"/>
  <c r="C60" i="48"/>
  <c r="I59" i="48"/>
  <c r="H59" i="48"/>
  <c r="G59" i="48"/>
  <c r="E59" i="48"/>
  <c r="D59" i="48"/>
  <c r="C59" i="48"/>
  <c r="I58" i="48"/>
  <c r="H58" i="48"/>
  <c r="G58" i="48"/>
  <c r="E58" i="48"/>
  <c r="D58" i="48"/>
  <c r="C58" i="48"/>
  <c r="I57" i="48"/>
  <c r="H57" i="48"/>
  <c r="G57" i="48"/>
  <c r="E57" i="48"/>
  <c r="D57" i="48"/>
  <c r="C57" i="48"/>
  <c r="I56" i="48"/>
  <c r="H56" i="48"/>
  <c r="G56" i="48"/>
  <c r="E56" i="48"/>
  <c r="D56" i="48"/>
  <c r="C56" i="48"/>
  <c r="I54" i="48"/>
  <c r="H54" i="48"/>
  <c r="G54" i="48"/>
  <c r="E54" i="48"/>
  <c r="D54" i="48"/>
  <c r="C54" i="48"/>
  <c r="I52" i="48"/>
  <c r="H52" i="48"/>
  <c r="G52" i="48"/>
  <c r="E52" i="48"/>
  <c r="D52" i="48"/>
  <c r="C52" i="48"/>
  <c r="I51" i="48"/>
  <c r="H51" i="48"/>
  <c r="G51" i="48"/>
  <c r="E51" i="48"/>
  <c r="D51" i="48"/>
  <c r="C51" i="48"/>
  <c r="I50" i="48"/>
  <c r="H50" i="48"/>
  <c r="G50" i="48"/>
  <c r="E50" i="48"/>
  <c r="D50" i="48"/>
  <c r="C50" i="48"/>
  <c r="I49" i="48"/>
  <c r="H49" i="48"/>
  <c r="G49" i="48"/>
  <c r="E49" i="48"/>
  <c r="D49" i="48"/>
  <c r="C49" i="48"/>
  <c r="I48" i="48"/>
  <c r="H48" i="48"/>
  <c r="G48" i="48"/>
  <c r="E48" i="48"/>
  <c r="D48" i="48"/>
  <c r="C48" i="48"/>
  <c r="I46" i="48"/>
  <c r="H46" i="48"/>
  <c r="G46" i="48"/>
  <c r="E46" i="48"/>
  <c r="D46" i="48"/>
  <c r="C46" i="48"/>
  <c r="I45" i="48"/>
  <c r="H45" i="48"/>
  <c r="G45" i="48"/>
  <c r="E45" i="48"/>
  <c r="D45" i="48"/>
  <c r="C45" i="48"/>
  <c r="I44" i="48"/>
  <c r="H44" i="48"/>
  <c r="G44" i="48"/>
  <c r="E44" i="48"/>
  <c r="D44" i="48"/>
  <c r="C44" i="48"/>
  <c r="I43" i="48"/>
  <c r="H43" i="48"/>
  <c r="G43" i="48"/>
  <c r="E43" i="48"/>
  <c r="D43" i="48"/>
  <c r="C43" i="48"/>
  <c r="I42" i="48"/>
  <c r="H42" i="48"/>
  <c r="G42" i="48"/>
  <c r="E42" i="48"/>
  <c r="D42" i="48"/>
  <c r="C42" i="48"/>
  <c r="I41" i="48"/>
  <c r="H41" i="48"/>
  <c r="G41" i="48"/>
  <c r="E41" i="48"/>
  <c r="D41" i="48"/>
  <c r="C41" i="48"/>
  <c r="I40" i="48"/>
  <c r="H40" i="48"/>
  <c r="G40" i="48"/>
  <c r="E40" i="48"/>
  <c r="D40" i="48"/>
  <c r="C40" i="48"/>
  <c r="I39" i="48"/>
  <c r="H39" i="48"/>
  <c r="G39" i="48"/>
  <c r="E39" i="48"/>
  <c r="D39" i="48"/>
  <c r="C39" i="48"/>
  <c r="I37" i="48"/>
  <c r="H37" i="48"/>
  <c r="G37" i="48"/>
  <c r="E37" i="48"/>
  <c r="D37" i="48"/>
  <c r="C37" i="48"/>
  <c r="I36" i="48"/>
  <c r="H36" i="48"/>
  <c r="G36" i="48"/>
  <c r="E36" i="48"/>
  <c r="D36" i="48"/>
  <c r="C36" i="48"/>
  <c r="I35" i="48"/>
  <c r="H35" i="48"/>
  <c r="G35" i="48"/>
  <c r="E35" i="48"/>
  <c r="D35" i="48"/>
  <c r="C35" i="48"/>
  <c r="I33" i="48"/>
  <c r="H33" i="48"/>
  <c r="G33" i="48"/>
  <c r="E33" i="48"/>
  <c r="D33" i="48"/>
  <c r="C33" i="48"/>
  <c r="I32" i="48"/>
  <c r="H32" i="48"/>
  <c r="G32" i="48"/>
  <c r="E32" i="48"/>
  <c r="D32" i="48"/>
  <c r="C32" i="48"/>
  <c r="I30" i="48"/>
  <c r="H30" i="48"/>
  <c r="G30" i="48"/>
  <c r="E30" i="48"/>
  <c r="D30" i="48"/>
  <c r="C30" i="48"/>
  <c r="I29" i="48"/>
  <c r="H29" i="48"/>
  <c r="G29" i="48"/>
  <c r="E29" i="48"/>
  <c r="D29" i="48"/>
  <c r="C29" i="48"/>
  <c r="I24" i="48"/>
  <c r="H24" i="48"/>
  <c r="G24" i="48"/>
  <c r="E21" i="48"/>
  <c r="D21" i="48"/>
  <c r="C21" i="48"/>
  <c r="E14" i="48"/>
  <c r="D14" i="48"/>
  <c r="C14" i="48"/>
  <c r="I13" i="48"/>
  <c r="H13" i="48"/>
  <c r="G13" i="48"/>
  <c r="E13" i="48"/>
  <c r="D13" i="48"/>
  <c r="C13" i="48"/>
  <c r="I8" i="48"/>
  <c r="H8" i="48"/>
  <c r="G8" i="48"/>
  <c r="I7" i="48"/>
  <c r="H7" i="48"/>
  <c r="G7" i="48"/>
  <c r="E7" i="48"/>
  <c r="D7" i="48"/>
  <c r="C7" i="48"/>
  <c r="I6" i="48"/>
  <c r="H6" i="48"/>
  <c r="G6" i="48"/>
  <c r="E6" i="48"/>
  <c r="D6" i="48"/>
  <c r="C6" i="48"/>
  <c r="E3" i="48"/>
  <c r="D3" i="48"/>
  <c r="C3" i="48"/>
  <c r="E87" i="47"/>
  <c r="D87" i="47"/>
  <c r="C87" i="47"/>
  <c r="I86" i="47"/>
  <c r="H86" i="47"/>
  <c r="G86" i="47"/>
  <c r="I79" i="47"/>
  <c r="H79" i="47"/>
  <c r="G79" i="47"/>
  <c r="E79" i="47"/>
  <c r="D79" i="47"/>
  <c r="C79" i="47"/>
  <c r="I77" i="47"/>
  <c r="H77" i="47"/>
  <c r="G77" i="47"/>
  <c r="I68" i="47"/>
  <c r="H68" i="47"/>
  <c r="G68" i="47"/>
  <c r="I62" i="47"/>
  <c r="H62" i="47"/>
  <c r="G62" i="47"/>
  <c r="E62" i="47"/>
  <c r="D62" i="47"/>
  <c r="C62" i="47"/>
  <c r="I60" i="47"/>
  <c r="H60" i="47"/>
  <c r="G60" i="47"/>
  <c r="E60" i="47"/>
  <c r="D60" i="47"/>
  <c r="C60" i="47"/>
  <c r="I59" i="47"/>
  <c r="H59" i="47"/>
  <c r="G59" i="47"/>
  <c r="E59" i="47"/>
  <c r="D59" i="47"/>
  <c r="C59" i="47"/>
  <c r="I58" i="47"/>
  <c r="H58" i="47"/>
  <c r="G58" i="47"/>
  <c r="E58" i="47"/>
  <c r="D58" i="47"/>
  <c r="C58" i="47"/>
  <c r="I57" i="47"/>
  <c r="H57" i="47"/>
  <c r="G57" i="47"/>
  <c r="E57" i="47"/>
  <c r="D57" i="47"/>
  <c r="C57" i="47"/>
  <c r="I56" i="47"/>
  <c r="H56" i="47"/>
  <c r="G56" i="47"/>
  <c r="E56" i="47"/>
  <c r="D56" i="47"/>
  <c r="C56" i="47"/>
  <c r="I54" i="47"/>
  <c r="H54" i="47"/>
  <c r="G54" i="47"/>
  <c r="E54" i="47"/>
  <c r="D54" i="47"/>
  <c r="C54" i="47"/>
  <c r="E52" i="47"/>
  <c r="D52" i="47"/>
  <c r="C52" i="47"/>
  <c r="I51" i="47"/>
  <c r="H51" i="47"/>
  <c r="G51" i="47"/>
  <c r="E51" i="47"/>
  <c r="D51" i="47"/>
  <c r="C51" i="47"/>
  <c r="E50" i="47"/>
  <c r="D50" i="47"/>
  <c r="C50" i="47"/>
  <c r="E49" i="47"/>
  <c r="D49" i="47"/>
  <c r="C49" i="47"/>
  <c r="E48" i="47"/>
  <c r="D48" i="47"/>
  <c r="C48" i="47"/>
  <c r="E46" i="47"/>
  <c r="D46" i="47"/>
  <c r="C46" i="47"/>
  <c r="E45" i="47"/>
  <c r="D45" i="47"/>
  <c r="C45" i="47"/>
  <c r="I44" i="47"/>
  <c r="H44" i="47"/>
  <c r="G44" i="47"/>
  <c r="E44" i="47"/>
  <c r="D44" i="47"/>
  <c r="C44" i="47"/>
  <c r="I43" i="47"/>
  <c r="H43" i="47"/>
  <c r="G43" i="47"/>
  <c r="E43" i="47"/>
  <c r="D43" i="47"/>
  <c r="C43" i="47"/>
  <c r="I42" i="47"/>
  <c r="H42" i="47"/>
  <c r="G42" i="47"/>
  <c r="E42" i="47"/>
  <c r="D42" i="47"/>
  <c r="C42" i="47"/>
  <c r="I41" i="47"/>
  <c r="H41" i="47"/>
  <c r="G41" i="47"/>
  <c r="E41" i="47"/>
  <c r="D41" i="47"/>
  <c r="C41" i="47"/>
  <c r="I40" i="47"/>
  <c r="H40" i="47"/>
  <c r="G40" i="47"/>
  <c r="E40" i="47"/>
  <c r="D40" i="47"/>
  <c r="C40" i="47"/>
  <c r="I39" i="47"/>
  <c r="H39" i="47"/>
  <c r="G39" i="47"/>
  <c r="E39" i="47"/>
  <c r="D39" i="47"/>
  <c r="C39" i="47"/>
  <c r="E37" i="47"/>
  <c r="D37" i="47"/>
  <c r="C37" i="47"/>
  <c r="E36" i="47"/>
  <c r="D36" i="47"/>
  <c r="C36" i="47"/>
  <c r="E35" i="47"/>
  <c r="D35" i="47"/>
  <c r="C35" i="47"/>
  <c r="I30" i="47"/>
  <c r="H30" i="47"/>
  <c r="G30" i="47"/>
  <c r="E30" i="47"/>
  <c r="D30" i="47"/>
  <c r="C30" i="47"/>
  <c r="I29" i="47"/>
  <c r="H29" i="47"/>
  <c r="G29" i="47"/>
  <c r="E29" i="47"/>
  <c r="D29" i="47"/>
  <c r="C29" i="47"/>
  <c r="I24" i="47"/>
  <c r="H24" i="47"/>
  <c r="G24" i="47"/>
  <c r="I14" i="47"/>
  <c r="H14" i="47"/>
  <c r="G14" i="47"/>
  <c r="I13" i="47"/>
  <c r="H13" i="47"/>
  <c r="G13" i="47"/>
  <c r="E13" i="47"/>
  <c r="D13" i="47"/>
  <c r="C13" i="47"/>
  <c r="I8" i="47"/>
  <c r="H8" i="47"/>
  <c r="G8" i="47"/>
  <c r="I7" i="47"/>
  <c r="H7" i="47"/>
  <c r="G7" i="47"/>
  <c r="E7" i="47"/>
  <c r="D7" i="47"/>
  <c r="C7" i="47"/>
  <c r="E6" i="47"/>
  <c r="D6" i="47"/>
  <c r="C6" i="47"/>
  <c r="E87" i="46"/>
  <c r="I86" i="46"/>
  <c r="E79" i="46"/>
  <c r="I71" i="46"/>
  <c r="I69" i="46"/>
  <c r="I68" i="46"/>
  <c r="I67" i="46"/>
  <c r="I66" i="46"/>
  <c r="I65" i="46"/>
  <c r="E62" i="46"/>
  <c r="E60" i="46"/>
  <c r="E59" i="46"/>
  <c r="E58" i="46"/>
  <c r="E57" i="46"/>
  <c r="E56" i="46"/>
  <c r="E54" i="46"/>
  <c r="E52" i="46"/>
  <c r="E51" i="46"/>
  <c r="E50" i="46"/>
  <c r="E49" i="46"/>
  <c r="E48" i="46"/>
  <c r="E44" i="46"/>
  <c r="E43" i="46"/>
  <c r="E42" i="46"/>
  <c r="E41" i="46"/>
  <c r="E40" i="46"/>
  <c r="E39" i="46"/>
  <c r="E37" i="46"/>
  <c r="E36" i="46"/>
  <c r="E35" i="46"/>
  <c r="E30" i="46"/>
  <c r="E29" i="46"/>
  <c r="I24" i="46"/>
  <c r="I21" i="46"/>
  <c r="I8" i="46"/>
  <c r="E7" i="46"/>
  <c r="I4" i="46"/>
  <c r="D87" i="46"/>
  <c r="C87" i="46"/>
  <c r="H86" i="46"/>
  <c r="G86" i="46"/>
  <c r="D79" i="46"/>
  <c r="C79" i="46"/>
  <c r="H71" i="46"/>
  <c r="G71" i="46"/>
  <c r="H69" i="46"/>
  <c r="G69" i="46"/>
  <c r="H68" i="46"/>
  <c r="G68" i="46"/>
  <c r="H67" i="46"/>
  <c r="G67" i="46"/>
  <c r="H66" i="46"/>
  <c r="G66" i="46"/>
  <c r="H65" i="46"/>
  <c r="G65" i="46"/>
  <c r="D62" i="46"/>
  <c r="C62" i="46"/>
  <c r="D60" i="46"/>
  <c r="C60" i="46"/>
  <c r="D59" i="46"/>
  <c r="C59" i="46"/>
  <c r="D58" i="46"/>
  <c r="C58" i="46"/>
  <c r="D57" i="46"/>
  <c r="C57" i="46"/>
  <c r="D56" i="46"/>
  <c r="C56" i="46"/>
  <c r="D54" i="46"/>
  <c r="C54" i="46"/>
  <c r="D52" i="46"/>
  <c r="C52" i="46"/>
  <c r="D51" i="46"/>
  <c r="C51" i="46"/>
  <c r="D50" i="46"/>
  <c r="C50" i="46"/>
  <c r="D49" i="46"/>
  <c r="C49" i="46"/>
  <c r="D48" i="46"/>
  <c r="C48" i="46"/>
  <c r="D44" i="46"/>
  <c r="C44" i="46"/>
  <c r="D43" i="46"/>
  <c r="C43" i="46"/>
  <c r="D42" i="46"/>
  <c r="C42" i="46"/>
  <c r="D41" i="46"/>
  <c r="C41" i="46"/>
  <c r="D40" i="46"/>
  <c r="C40" i="46"/>
  <c r="D39" i="46"/>
  <c r="C39" i="46"/>
  <c r="D37" i="46"/>
  <c r="C37" i="46"/>
  <c r="D36" i="46"/>
  <c r="C36" i="46"/>
  <c r="D35" i="46"/>
  <c r="C35" i="46"/>
  <c r="D30" i="46"/>
  <c r="C30" i="46"/>
  <c r="D29" i="46"/>
  <c r="C29" i="46"/>
  <c r="H24" i="46"/>
  <c r="G24" i="46"/>
  <c r="H21" i="46"/>
  <c r="G21" i="46"/>
  <c r="H8" i="46"/>
  <c r="G8" i="46"/>
  <c r="D7" i="46"/>
  <c r="C7" i="46"/>
  <c r="H4" i="46"/>
  <c r="G4" i="46"/>
  <c r="R5" i="44"/>
  <c r="C3" i="47"/>
  <c r="I86" i="45"/>
  <c r="H86" i="45"/>
  <c r="G86" i="45"/>
  <c r="I81" i="45"/>
  <c r="H81" i="45"/>
  <c r="G81" i="45"/>
  <c r="I77" i="45"/>
  <c r="H77" i="45"/>
  <c r="G77" i="45"/>
  <c r="I71" i="45"/>
  <c r="H71" i="45"/>
  <c r="G71" i="45"/>
  <c r="I70" i="45"/>
  <c r="H70" i="45"/>
  <c r="G70" i="45"/>
  <c r="I69" i="45"/>
  <c r="H69" i="45"/>
  <c r="G69" i="45"/>
  <c r="I68" i="45"/>
  <c r="H68" i="45"/>
  <c r="G68" i="45"/>
  <c r="I67" i="45"/>
  <c r="H67" i="45"/>
  <c r="G67" i="45"/>
  <c r="I66" i="45"/>
  <c r="H66" i="45"/>
  <c r="G66" i="45"/>
  <c r="I65" i="45"/>
  <c r="H65" i="45"/>
  <c r="G65" i="45"/>
  <c r="I45" i="45"/>
  <c r="H45" i="45"/>
  <c r="G45" i="45"/>
  <c r="I33" i="45"/>
  <c r="H33" i="45"/>
  <c r="G33" i="45"/>
  <c r="I30" i="45"/>
  <c r="H30" i="45"/>
  <c r="G30" i="45"/>
  <c r="I27" i="45"/>
  <c r="H27" i="45"/>
  <c r="G27" i="45"/>
  <c r="I24" i="45"/>
  <c r="H24" i="45"/>
  <c r="G24" i="45"/>
  <c r="I21" i="45"/>
  <c r="H21" i="45"/>
  <c r="G21" i="45"/>
  <c r="I14" i="45"/>
  <c r="H14" i="45"/>
  <c r="G14" i="45"/>
  <c r="I13" i="45"/>
  <c r="H13" i="45"/>
  <c r="G13" i="45"/>
  <c r="I10" i="45"/>
  <c r="H10" i="45"/>
  <c r="G10" i="45"/>
  <c r="I8" i="45"/>
  <c r="H8" i="45"/>
  <c r="G8" i="45"/>
  <c r="I4" i="45"/>
  <c r="H4" i="45"/>
  <c r="G4" i="45"/>
  <c r="I3" i="45"/>
  <c r="H3" i="45"/>
  <c r="G3" i="45"/>
  <c r="E87" i="45"/>
  <c r="D87" i="45"/>
  <c r="C87" i="45"/>
  <c r="E79" i="45"/>
  <c r="D79" i="45"/>
  <c r="C79" i="45"/>
  <c r="E62" i="45"/>
  <c r="D62" i="45"/>
  <c r="C62" i="45"/>
  <c r="E60" i="45"/>
  <c r="D60" i="45"/>
  <c r="C60" i="45"/>
  <c r="E59" i="45"/>
  <c r="D59" i="45"/>
  <c r="C59" i="45"/>
  <c r="E58" i="45"/>
  <c r="D58" i="45"/>
  <c r="C58" i="45"/>
  <c r="E57" i="45"/>
  <c r="D57" i="45"/>
  <c r="C57" i="45"/>
  <c r="E56" i="45"/>
  <c r="D56" i="45"/>
  <c r="C56" i="45"/>
  <c r="E54" i="45"/>
  <c r="D54" i="45"/>
  <c r="C54" i="45"/>
  <c r="E52" i="45"/>
  <c r="D52" i="45"/>
  <c r="C52" i="45"/>
  <c r="E51" i="45"/>
  <c r="D51" i="45"/>
  <c r="C51" i="45"/>
  <c r="E50" i="45"/>
  <c r="D50" i="45"/>
  <c r="C50" i="45"/>
  <c r="E49" i="45"/>
  <c r="D49" i="45"/>
  <c r="C49" i="45"/>
  <c r="E48" i="45"/>
  <c r="D48" i="45"/>
  <c r="C48" i="45"/>
  <c r="E44" i="45"/>
  <c r="D44" i="45"/>
  <c r="C44" i="45"/>
  <c r="E43" i="45"/>
  <c r="D43" i="45"/>
  <c r="C43" i="45"/>
  <c r="E42" i="45"/>
  <c r="D42" i="45"/>
  <c r="C42" i="45"/>
  <c r="E41" i="45"/>
  <c r="D41" i="45"/>
  <c r="C41" i="45"/>
  <c r="E40" i="45"/>
  <c r="D40" i="45"/>
  <c r="C40" i="45"/>
  <c r="E39" i="45"/>
  <c r="D39" i="45"/>
  <c r="C39" i="45"/>
  <c r="E37" i="45"/>
  <c r="D37" i="45"/>
  <c r="C37" i="45"/>
  <c r="E36" i="45"/>
  <c r="D36" i="45"/>
  <c r="C36" i="45"/>
  <c r="E35" i="45"/>
  <c r="D35" i="45"/>
  <c r="C35" i="45"/>
  <c r="P495" i="44"/>
  <c r="P494" i="44"/>
  <c r="P493" i="44"/>
  <c r="P492" i="44"/>
  <c r="P491" i="44"/>
  <c r="P490" i="44"/>
  <c r="P489" i="44"/>
  <c r="P488" i="44"/>
  <c r="P487" i="44"/>
  <c r="P486" i="44"/>
  <c r="P485" i="44"/>
  <c r="P484" i="44"/>
  <c r="P483" i="44"/>
  <c r="P482" i="44"/>
  <c r="P481" i="44"/>
  <c r="P480" i="44"/>
  <c r="P479" i="44"/>
  <c r="P478" i="44"/>
  <c r="P477" i="44"/>
  <c r="P476" i="44"/>
  <c r="P475" i="44"/>
  <c r="P474" i="44"/>
  <c r="P473" i="44"/>
  <c r="P472" i="44"/>
  <c r="P471" i="44"/>
  <c r="P470" i="44"/>
  <c r="P469" i="44"/>
  <c r="P468" i="44"/>
  <c r="P467" i="44"/>
  <c r="P466" i="44"/>
  <c r="P465" i="44"/>
  <c r="P464" i="44"/>
  <c r="P463" i="44"/>
  <c r="P462" i="44"/>
  <c r="P461" i="44"/>
  <c r="P460" i="44"/>
  <c r="P459" i="44"/>
  <c r="P458" i="44"/>
  <c r="P457" i="44"/>
  <c r="P456" i="44"/>
  <c r="P455" i="44"/>
  <c r="P454" i="44"/>
  <c r="P453" i="44"/>
  <c r="P452" i="44"/>
  <c r="P451" i="44"/>
  <c r="P450" i="44"/>
  <c r="P449" i="44"/>
  <c r="P448" i="44"/>
  <c r="P447" i="44"/>
  <c r="P446" i="44"/>
  <c r="P445" i="44"/>
  <c r="P444" i="44"/>
  <c r="P443" i="44"/>
  <c r="P442" i="44"/>
  <c r="P441" i="44"/>
  <c r="P440" i="44"/>
  <c r="P439" i="44"/>
  <c r="P438" i="44"/>
  <c r="P437" i="44"/>
  <c r="P436" i="44"/>
  <c r="P435" i="44"/>
  <c r="P434" i="44"/>
  <c r="P433" i="44"/>
  <c r="P432" i="44"/>
  <c r="P431" i="44"/>
  <c r="P430" i="44"/>
  <c r="P429" i="44"/>
  <c r="P428" i="44"/>
  <c r="P427" i="44"/>
  <c r="P426" i="44"/>
  <c r="P425" i="44"/>
  <c r="P424" i="44"/>
  <c r="P423" i="44"/>
  <c r="P422" i="44"/>
  <c r="P421" i="44"/>
  <c r="P420" i="44"/>
  <c r="P419" i="44"/>
  <c r="P418" i="44"/>
  <c r="P417" i="44"/>
  <c r="P416" i="44"/>
  <c r="P415" i="44"/>
  <c r="P414" i="44"/>
  <c r="P413" i="44"/>
  <c r="P412" i="44"/>
  <c r="P411" i="44"/>
  <c r="P410" i="44"/>
  <c r="P409" i="44"/>
  <c r="P408" i="44"/>
  <c r="P407" i="44"/>
  <c r="P406" i="44"/>
  <c r="P405" i="44"/>
  <c r="P404" i="44"/>
  <c r="P403" i="44"/>
  <c r="P402" i="44"/>
  <c r="P401" i="44"/>
  <c r="P400" i="44"/>
  <c r="P399" i="44"/>
  <c r="P398" i="44"/>
  <c r="P397" i="44"/>
  <c r="P396" i="44"/>
  <c r="P395" i="44"/>
  <c r="P394" i="44"/>
  <c r="P393" i="44"/>
  <c r="P392" i="44"/>
  <c r="P391" i="44"/>
  <c r="P390" i="44"/>
  <c r="P389" i="44"/>
  <c r="P388" i="44"/>
  <c r="P387" i="44"/>
  <c r="P386" i="44"/>
  <c r="P385" i="44"/>
  <c r="P384" i="44"/>
  <c r="P383" i="44"/>
  <c r="P382" i="44"/>
  <c r="P381" i="44"/>
  <c r="P380" i="44"/>
  <c r="P379" i="44"/>
  <c r="P378" i="44"/>
  <c r="P377" i="44"/>
  <c r="P376" i="44"/>
  <c r="P375" i="44"/>
  <c r="P374" i="44"/>
  <c r="P373" i="44"/>
  <c r="P372" i="44"/>
  <c r="P371" i="44"/>
  <c r="P370" i="44"/>
  <c r="P369" i="44"/>
  <c r="P368" i="44"/>
  <c r="P367" i="44"/>
  <c r="P366" i="44"/>
  <c r="P365" i="44"/>
  <c r="P364" i="44"/>
  <c r="P363" i="44"/>
  <c r="P362" i="44"/>
  <c r="P361" i="44"/>
  <c r="P360" i="44"/>
  <c r="P359" i="44"/>
  <c r="P358" i="44"/>
  <c r="P357" i="44"/>
  <c r="P356" i="44"/>
  <c r="P355" i="44"/>
  <c r="P354" i="44"/>
  <c r="P353" i="44"/>
  <c r="P352" i="44"/>
  <c r="P351" i="44"/>
  <c r="P350" i="44"/>
  <c r="P349" i="44"/>
  <c r="P348" i="44"/>
  <c r="P347" i="44"/>
  <c r="P346" i="44"/>
  <c r="P345" i="44"/>
  <c r="P344" i="44"/>
  <c r="P343" i="44"/>
  <c r="P342" i="44"/>
  <c r="P341" i="44"/>
  <c r="P340" i="44"/>
  <c r="P339" i="44"/>
  <c r="P338" i="44"/>
  <c r="P337" i="44"/>
  <c r="P336" i="44"/>
  <c r="P335" i="44"/>
  <c r="P334" i="44"/>
  <c r="P333" i="44"/>
  <c r="P332" i="44"/>
  <c r="P331" i="44"/>
  <c r="P330" i="44"/>
  <c r="P329" i="44"/>
  <c r="P328" i="44"/>
  <c r="P327" i="44"/>
  <c r="P326" i="44"/>
  <c r="P325" i="44"/>
  <c r="P324" i="44"/>
  <c r="P323" i="44"/>
  <c r="P322" i="44"/>
  <c r="P321" i="44"/>
  <c r="P320" i="44"/>
  <c r="P319" i="44"/>
  <c r="P318" i="44"/>
  <c r="P317" i="44"/>
  <c r="P316" i="44"/>
  <c r="P315" i="44"/>
  <c r="P314" i="44"/>
  <c r="P313" i="44"/>
  <c r="P312" i="44"/>
  <c r="P311" i="44"/>
  <c r="P309" i="44"/>
  <c r="P308" i="44"/>
  <c r="P307" i="44"/>
  <c r="P306" i="44"/>
  <c r="P305" i="44"/>
  <c r="P304" i="44"/>
  <c r="P303" i="44"/>
  <c r="P302" i="44"/>
  <c r="P301" i="44"/>
  <c r="P300" i="44"/>
  <c r="P299" i="44"/>
  <c r="P298" i="44"/>
  <c r="P297" i="44"/>
  <c r="P296" i="44"/>
  <c r="P295" i="44"/>
  <c r="P294" i="44"/>
  <c r="P293" i="44"/>
  <c r="P292" i="44"/>
  <c r="P291" i="44"/>
  <c r="P289" i="44"/>
  <c r="P288" i="44"/>
  <c r="P287" i="44"/>
  <c r="P286" i="44"/>
  <c r="P285" i="44"/>
  <c r="P284" i="44"/>
  <c r="P283" i="44"/>
  <c r="P282" i="44"/>
  <c r="P281" i="44"/>
  <c r="P280" i="44"/>
  <c r="P279" i="44"/>
  <c r="P278" i="44"/>
  <c r="P277" i="44"/>
  <c r="P276" i="44"/>
  <c r="P275" i="44"/>
  <c r="P274" i="44"/>
  <c r="P273" i="44"/>
  <c r="P272" i="44"/>
  <c r="P271" i="44"/>
  <c r="P270" i="44"/>
  <c r="P269" i="44"/>
  <c r="P268" i="44"/>
  <c r="P267" i="44"/>
  <c r="P266" i="44"/>
  <c r="P265" i="44"/>
  <c r="P264" i="44"/>
  <c r="P263" i="44"/>
  <c r="P262" i="44"/>
  <c r="P261" i="44"/>
  <c r="P260" i="44"/>
  <c r="P259" i="44"/>
  <c r="P258" i="44"/>
  <c r="P257" i="44"/>
  <c r="P256" i="44"/>
  <c r="P255" i="44"/>
  <c r="P254" i="44"/>
  <c r="P253" i="44"/>
  <c r="P252" i="44"/>
  <c r="P251" i="44"/>
  <c r="P250" i="44"/>
  <c r="P249" i="44"/>
  <c r="P248" i="44"/>
  <c r="P247" i="44"/>
  <c r="P246" i="44"/>
  <c r="P245" i="44"/>
  <c r="P244" i="44"/>
  <c r="P243" i="44"/>
  <c r="P242" i="44"/>
  <c r="P241" i="44"/>
  <c r="P240" i="44"/>
  <c r="P239" i="44"/>
  <c r="P238" i="44"/>
  <c r="P237" i="44"/>
  <c r="P236" i="44"/>
  <c r="P235" i="44"/>
  <c r="P234" i="44"/>
  <c r="P233" i="44"/>
  <c r="P232" i="44"/>
  <c r="P231" i="44"/>
  <c r="P230" i="44"/>
  <c r="P229" i="44"/>
  <c r="P228" i="44"/>
  <c r="P227" i="44"/>
  <c r="P226" i="44"/>
  <c r="P225" i="44"/>
  <c r="P224" i="44"/>
  <c r="P223" i="44"/>
  <c r="P222" i="44"/>
  <c r="P221" i="44"/>
  <c r="P220" i="44"/>
  <c r="P219" i="44"/>
  <c r="P218" i="44"/>
  <c r="P217" i="44"/>
  <c r="P216" i="44"/>
  <c r="P215" i="44"/>
  <c r="P214" i="44"/>
  <c r="P213" i="44"/>
  <c r="P212" i="44"/>
  <c r="P211" i="44"/>
  <c r="P210" i="44"/>
  <c r="P209" i="44"/>
  <c r="P208" i="44"/>
  <c r="P207" i="44"/>
  <c r="P206" i="44"/>
  <c r="P205" i="44"/>
  <c r="P204" i="44"/>
  <c r="P203" i="44"/>
  <c r="P202" i="44"/>
  <c r="P201" i="44"/>
  <c r="P200" i="44"/>
  <c r="P199" i="44"/>
  <c r="P198" i="44"/>
  <c r="P197" i="44"/>
  <c r="P196" i="44"/>
  <c r="P195" i="44"/>
  <c r="P194" i="44"/>
  <c r="P193" i="44"/>
  <c r="P192" i="44"/>
  <c r="P191" i="44"/>
  <c r="P190" i="44"/>
  <c r="P189" i="44"/>
  <c r="P188" i="44"/>
  <c r="P187" i="44"/>
  <c r="P186" i="44"/>
  <c r="P185" i="44"/>
  <c r="P184" i="44"/>
  <c r="P183" i="44"/>
  <c r="P182" i="44"/>
  <c r="P181" i="44"/>
  <c r="P180" i="44"/>
  <c r="P179" i="44"/>
  <c r="P178" i="44"/>
  <c r="P177" i="44"/>
  <c r="P176" i="44"/>
  <c r="P175" i="44"/>
  <c r="P174" i="44"/>
  <c r="P173" i="44"/>
  <c r="P172" i="44"/>
  <c r="P171" i="44"/>
  <c r="P170" i="44"/>
  <c r="P169" i="44"/>
  <c r="P168" i="44"/>
  <c r="P167" i="44"/>
  <c r="P166" i="44"/>
  <c r="P164" i="44"/>
  <c r="P163" i="44"/>
  <c r="P162" i="44"/>
  <c r="P161" i="44"/>
  <c r="P160" i="44"/>
  <c r="P159" i="44"/>
  <c r="P158" i="44"/>
  <c r="P157" i="44"/>
  <c r="P156" i="44"/>
  <c r="P155" i="44"/>
  <c r="P154" i="44"/>
  <c r="P153" i="44"/>
  <c r="P152" i="44"/>
  <c r="P151" i="44"/>
  <c r="P149" i="44"/>
  <c r="P148" i="44"/>
  <c r="P147" i="44"/>
  <c r="P146" i="44"/>
  <c r="P145" i="44"/>
  <c r="P144" i="44"/>
  <c r="P143" i="44"/>
  <c r="P142" i="44"/>
  <c r="P141" i="44"/>
  <c r="P140" i="44"/>
  <c r="P139" i="44"/>
  <c r="P138" i="44"/>
  <c r="P137" i="44"/>
  <c r="P136" i="44"/>
  <c r="P135" i="44"/>
  <c r="P133" i="44"/>
  <c r="P132" i="44"/>
  <c r="P131" i="44"/>
  <c r="P130" i="44"/>
  <c r="P129" i="44"/>
  <c r="P128" i="44"/>
  <c r="P127" i="44"/>
  <c r="P126" i="44"/>
  <c r="P125" i="44"/>
  <c r="P124" i="44"/>
  <c r="P123" i="44"/>
  <c r="P121" i="44"/>
  <c r="P118" i="44"/>
  <c r="P117" i="44"/>
  <c r="P116" i="44"/>
  <c r="P115" i="44"/>
  <c r="P114" i="44"/>
  <c r="P113" i="44"/>
  <c r="P112" i="44"/>
  <c r="P111" i="44"/>
  <c r="P110" i="44"/>
  <c r="P109" i="44"/>
  <c r="P108" i="44"/>
  <c r="P107" i="44"/>
  <c r="P106" i="44"/>
  <c r="P105" i="44"/>
  <c r="P104" i="44"/>
  <c r="P103" i="44"/>
  <c r="P102" i="44"/>
  <c r="P101" i="44"/>
  <c r="P100" i="44"/>
  <c r="P99" i="44"/>
  <c r="P98" i="44"/>
  <c r="P97" i="44"/>
  <c r="P96" i="44"/>
  <c r="P95" i="44"/>
  <c r="P94" i="44"/>
  <c r="P93" i="44"/>
  <c r="P92" i="44"/>
  <c r="P91" i="44"/>
  <c r="P90" i="44"/>
  <c r="P89" i="44"/>
  <c r="P88" i="44"/>
  <c r="P87" i="44"/>
  <c r="P86" i="44"/>
  <c r="P85" i="44"/>
  <c r="P84" i="44"/>
  <c r="P83" i="44"/>
  <c r="P82" i="44"/>
  <c r="P81" i="44"/>
  <c r="P80" i="44"/>
  <c r="P79" i="44"/>
  <c r="P78" i="44"/>
  <c r="P77" i="44"/>
  <c r="P76" i="44"/>
  <c r="P75" i="44"/>
  <c r="P74" i="44"/>
  <c r="P73" i="44"/>
  <c r="P72" i="44"/>
  <c r="P71" i="44"/>
  <c r="P70" i="44"/>
  <c r="P69" i="44"/>
  <c r="P68" i="44"/>
  <c r="P67" i="44"/>
  <c r="P66" i="44"/>
  <c r="P65" i="44"/>
  <c r="P64" i="44"/>
  <c r="P63" i="44"/>
  <c r="P62" i="44"/>
  <c r="P61" i="44"/>
  <c r="P60" i="44"/>
  <c r="P59" i="44"/>
  <c r="P57" i="44"/>
  <c r="P56" i="44"/>
  <c r="P55" i="44"/>
  <c r="P54" i="44"/>
  <c r="P53" i="44"/>
  <c r="P52" i="44"/>
  <c r="P51" i="44"/>
  <c r="P50" i="44"/>
  <c r="P49" i="44"/>
  <c r="P48" i="44"/>
  <c r="P47" i="44"/>
  <c r="P46" i="44"/>
  <c r="P45" i="44"/>
  <c r="P44" i="44"/>
  <c r="P43" i="44"/>
  <c r="P42" i="44"/>
  <c r="P41" i="44"/>
  <c r="P40" i="44"/>
  <c r="P39" i="44"/>
  <c r="P38" i="44"/>
  <c r="P37" i="44"/>
  <c r="P36" i="44"/>
  <c r="P35" i="44"/>
  <c r="P34" i="44"/>
  <c r="P33" i="44"/>
  <c r="P32" i="44"/>
  <c r="P31" i="44"/>
  <c r="P30" i="44"/>
  <c r="P29" i="44"/>
  <c r="P28" i="44"/>
  <c r="P27" i="44"/>
  <c r="P26" i="44"/>
  <c r="P25" i="44"/>
  <c r="P24" i="44"/>
  <c r="P23" i="44"/>
  <c r="P22" i="44"/>
  <c r="P21" i="44"/>
  <c r="P20" i="44"/>
  <c r="P19" i="44"/>
  <c r="P18" i="44"/>
  <c r="P17" i="44"/>
  <c r="P16" i="44"/>
  <c r="P15" i="44"/>
  <c r="P14" i="44"/>
  <c r="P13" i="44"/>
  <c r="P12" i="44"/>
  <c r="P10" i="44"/>
  <c r="P9" i="44"/>
  <c r="P8" i="44"/>
  <c r="P7" i="44"/>
  <c r="P6" i="44"/>
  <c r="P5" i="44"/>
  <c r="E5" i="44"/>
  <c r="E6" i="44"/>
  <c r="E7" i="44"/>
  <c r="E10" i="44"/>
  <c r="E11" i="44"/>
  <c r="E33" i="44"/>
  <c r="E55" i="44"/>
  <c r="E72" i="44"/>
  <c r="E73" i="44"/>
  <c r="E74" i="44"/>
  <c r="E75" i="44"/>
  <c r="E85" i="44"/>
  <c r="E107" i="44"/>
  <c r="E108" i="44"/>
  <c r="E109" i="44"/>
  <c r="E110" i="44"/>
  <c r="E111" i="44"/>
  <c r="E112" i="44"/>
  <c r="E113" i="44"/>
  <c r="E114" i="44"/>
  <c r="E115" i="44"/>
  <c r="E116" i="44"/>
  <c r="E117" i="44"/>
  <c r="E118" i="44"/>
  <c r="E119" i="44"/>
  <c r="E120" i="44"/>
  <c r="E133" i="44"/>
  <c r="E134" i="44"/>
  <c r="E135" i="44"/>
  <c r="E136" i="44"/>
  <c r="E137" i="44"/>
  <c r="E138" i="44"/>
  <c r="E139" i="44"/>
  <c r="E140" i="44"/>
  <c r="E141" i="44"/>
  <c r="E142" i="44"/>
  <c r="E143" i="44"/>
  <c r="E144" i="44"/>
  <c r="E145" i="44"/>
  <c r="E146" i="44"/>
  <c r="E147" i="44"/>
  <c r="E148" i="44"/>
  <c r="E149" i="44"/>
  <c r="E150" i="44"/>
  <c r="E151" i="44"/>
  <c r="E152" i="44"/>
  <c r="E153" i="44"/>
  <c r="E154" i="44"/>
  <c r="E155" i="44"/>
  <c r="E156" i="44"/>
  <c r="E157" i="44"/>
  <c r="E158" i="44"/>
  <c r="E159" i="44"/>
  <c r="E160" i="44"/>
  <c r="E161" i="44"/>
  <c r="E162" i="44"/>
  <c r="E163" i="44"/>
  <c r="E164" i="44"/>
  <c r="E180" i="44"/>
  <c r="E194" i="44"/>
  <c r="E195" i="44"/>
  <c r="E196" i="44"/>
  <c r="E197" i="44"/>
  <c r="E216" i="44"/>
  <c r="E217" i="44"/>
  <c r="E218" i="44"/>
  <c r="E219" i="44"/>
  <c r="E233" i="44"/>
  <c r="E234" i="44"/>
  <c r="E253" i="44"/>
  <c r="E254" i="44"/>
  <c r="E255" i="44"/>
  <c r="E256" i="44"/>
  <c r="E257" i="44"/>
  <c r="E258" i="44"/>
  <c r="E259" i="44"/>
  <c r="E260" i="44"/>
  <c r="E261" i="44"/>
  <c r="E262" i="44"/>
  <c r="E263" i="44"/>
  <c r="E264" i="44"/>
  <c r="E265" i="44"/>
  <c r="E266" i="44"/>
  <c r="E267" i="44"/>
  <c r="E268" i="44"/>
  <c r="E269" i="44"/>
  <c r="E270" i="44"/>
  <c r="E271" i="44"/>
  <c r="E272" i="44"/>
  <c r="E273" i="44"/>
  <c r="E274" i="44"/>
  <c r="E275" i="44"/>
  <c r="E276" i="44"/>
  <c r="E277" i="44"/>
  <c r="E278" i="44"/>
  <c r="E279" i="44"/>
  <c r="E280" i="44"/>
  <c r="E281" i="44"/>
  <c r="E282" i="44"/>
  <c r="E283" i="44"/>
  <c r="E284" i="44"/>
  <c r="E285" i="44"/>
  <c r="E286" i="44"/>
  <c r="E287" i="44"/>
  <c r="E288" i="44"/>
  <c r="E289" i="44"/>
  <c r="E290" i="44"/>
  <c r="E291" i="44"/>
  <c r="E292" i="44"/>
  <c r="E293" i="44"/>
  <c r="E294" i="44"/>
  <c r="E295" i="44"/>
  <c r="E296" i="44"/>
  <c r="E297" i="44"/>
  <c r="E298" i="44"/>
  <c r="E299" i="44"/>
  <c r="E300" i="44"/>
  <c r="E301" i="44"/>
  <c r="E302" i="44"/>
  <c r="E303" i="44"/>
  <c r="E304" i="44"/>
  <c r="E305" i="44"/>
  <c r="E306" i="44"/>
  <c r="E307" i="44"/>
  <c r="E308" i="44"/>
  <c r="E309" i="44"/>
  <c r="E310" i="44"/>
  <c r="E311" i="44"/>
  <c r="E312" i="44"/>
  <c r="E313" i="44"/>
  <c r="E314" i="44"/>
  <c r="E315" i="44"/>
  <c r="E341" i="44"/>
  <c r="E365" i="44"/>
  <c r="E366" i="44"/>
  <c r="E380" i="44"/>
  <c r="E381" i="44"/>
  <c r="E382" i="44"/>
  <c r="E383" i="44"/>
  <c r="E408" i="44"/>
  <c r="E409" i="44"/>
  <c r="E410" i="44"/>
  <c r="E411" i="44"/>
  <c r="E412" i="44"/>
  <c r="E432" i="44"/>
  <c r="E433" i="44"/>
  <c r="E455" i="44"/>
  <c r="E456" i="44"/>
  <c r="E457" i="44"/>
  <c r="E458" i="44"/>
  <c r="E459" i="44"/>
  <c r="E460" i="44"/>
  <c r="E461" i="44"/>
  <c r="E462" i="44"/>
  <c r="E463" i="44"/>
  <c r="E464" i="44"/>
  <c r="E465" i="44"/>
  <c r="E466" i="44"/>
  <c r="E467" i="44"/>
  <c r="E468" i="44"/>
  <c r="E469" i="44"/>
  <c r="E470" i="44"/>
  <c r="E471" i="44"/>
  <c r="E472" i="44"/>
  <c r="E473" i="44"/>
  <c r="E474" i="44"/>
  <c r="E475" i="44"/>
  <c r="E476" i="44"/>
  <c r="E477" i="44"/>
  <c r="E478" i="44"/>
  <c r="E479" i="44"/>
  <c r="E480" i="44"/>
  <c r="E481" i="44"/>
  <c r="E482" i="44"/>
  <c r="E483" i="44"/>
  <c r="E484" i="44"/>
  <c r="E485" i="44"/>
  <c r="E486" i="44"/>
  <c r="E487" i="44"/>
  <c r="E2" i="44"/>
  <c r="E3" i="44"/>
  <c r="E4" i="44"/>
  <c r="E367" i="44"/>
  <c r="E8" i="44"/>
  <c r="E488" i="44"/>
  <c r="E198" i="44"/>
  <c r="E76" i="44"/>
  <c r="E434" i="44"/>
  <c r="E86" i="44"/>
  <c r="E413" i="44"/>
  <c r="E235" i="44"/>
  <c r="E56" i="44"/>
  <c r="E316" i="44"/>
  <c r="E165" i="44"/>
  <c r="E384" i="44"/>
  <c r="E220" i="44"/>
  <c r="E34" i="44"/>
  <c r="E342" i="44"/>
  <c r="E181" i="44"/>
  <c r="E12" i="44"/>
  <c r="E121" i="44"/>
  <c r="G3" i="48"/>
  <c r="B88" i="49"/>
  <c r="F87" i="49"/>
  <c r="N87" i="49" s="1"/>
  <c r="J86" i="49"/>
  <c r="M86" i="49" s="1"/>
  <c r="B84" i="49"/>
  <c r="J81" i="49"/>
  <c r="P81" i="49" s="1"/>
  <c r="J80" i="49"/>
  <c r="P80" i="49"/>
  <c r="J79" i="49"/>
  <c r="P79" i="49"/>
  <c r="F79" i="49"/>
  <c r="N79" i="49"/>
  <c r="B75" i="49"/>
  <c r="J73" i="49"/>
  <c r="P73" i="49" s="1"/>
  <c r="F73" i="49"/>
  <c r="N73" i="49" s="1"/>
  <c r="J72" i="49"/>
  <c r="P72" i="49" s="1"/>
  <c r="J71" i="49"/>
  <c r="M71" i="49" s="1"/>
  <c r="P71" i="49"/>
  <c r="F71" i="49"/>
  <c r="J67" i="49"/>
  <c r="P67" i="49"/>
  <c r="Q62" i="49"/>
  <c r="O62" i="49"/>
  <c r="B61" i="49"/>
  <c r="J60" i="49"/>
  <c r="M60" i="49" s="1"/>
  <c r="P60" i="49"/>
  <c r="F60" i="49"/>
  <c r="N60" i="49" s="1"/>
  <c r="J59" i="49"/>
  <c r="P59" i="49" s="1"/>
  <c r="F59" i="49"/>
  <c r="N59" i="49" s="1"/>
  <c r="J58" i="49"/>
  <c r="M58" i="49" s="1"/>
  <c r="P58" i="49"/>
  <c r="F58" i="49"/>
  <c r="N58" i="49" s="1"/>
  <c r="J57" i="49"/>
  <c r="P57" i="49" s="1"/>
  <c r="F57" i="49"/>
  <c r="N57" i="49" s="1"/>
  <c r="B55" i="49"/>
  <c r="J54" i="49"/>
  <c r="P54" i="49" s="1"/>
  <c r="F54" i="49"/>
  <c r="N54" i="49"/>
  <c r="J52" i="49"/>
  <c r="F52" i="49"/>
  <c r="N52" i="49" s="1"/>
  <c r="J51" i="49"/>
  <c r="P51" i="49"/>
  <c r="F51" i="49"/>
  <c r="N51" i="49" s="1"/>
  <c r="J50" i="49"/>
  <c r="P50" i="49" s="1"/>
  <c r="F50" i="49"/>
  <c r="N50" i="49" s="1"/>
  <c r="B47" i="49"/>
  <c r="J46" i="49"/>
  <c r="P46" i="49" s="1"/>
  <c r="F46" i="49"/>
  <c r="N46" i="49"/>
  <c r="J45" i="49"/>
  <c r="P45" i="49"/>
  <c r="F45" i="49"/>
  <c r="N45" i="49"/>
  <c r="J44" i="49"/>
  <c r="M44" i="49" s="1"/>
  <c r="F44" i="49"/>
  <c r="N44" i="49"/>
  <c r="J43" i="49"/>
  <c r="P43" i="49"/>
  <c r="F43" i="49"/>
  <c r="J42" i="49"/>
  <c r="P42" i="49"/>
  <c r="F42" i="49"/>
  <c r="J41" i="49"/>
  <c r="P41" i="49"/>
  <c r="F41" i="49"/>
  <c r="J40" i="49"/>
  <c r="F40" i="49"/>
  <c r="N40" i="49"/>
  <c r="B38" i="49"/>
  <c r="J37" i="49"/>
  <c r="P37" i="49" s="1"/>
  <c r="F37" i="49"/>
  <c r="N37" i="49" s="1"/>
  <c r="J36" i="49"/>
  <c r="M36" i="49" s="1"/>
  <c r="F36" i="49"/>
  <c r="L36" i="49" s="1"/>
  <c r="N36" i="49"/>
  <c r="J33" i="49"/>
  <c r="P33" i="49" s="1"/>
  <c r="F33" i="49"/>
  <c r="N33" i="49" s="1"/>
  <c r="B31" i="49"/>
  <c r="J30" i="49"/>
  <c r="P30" i="49"/>
  <c r="F30" i="49"/>
  <c r="L30" i="49" s="1"/>
  <c r="J27" i="49"/>
  <c r="F27" i="49"/>
  <c r="L27" i="49" s="1"/>
  <c r="F24" i="49"/>
  <c r="N24" i="49"/>
  <c r="B22" i="49"/>
  <c r="J21" i="49"/>
  <c r="P21" i="49" s="1"/>
  <c r="F21" i="49"/>
  <c r="L21" i="49" s="1"/>
  <c r="B19" i="49"/>
  <c r="B15" i="49"/>
  <c r="F14" i="49"/>
  <c r="N14" i="49"/>
  <c r="J13" i="49"/>
  <c r="P13" i="49"/>
  <c r="F13" i="49"/>
  <c r="N13" i="49" s="1"/>
  <c r="B9" i="49"/>
  <c r="J8" i="49"/>
  <c r="J7" i="49"/>
  <c r="F7" i="49"/>
  <c r="N7" i="49" s="1"/>
  <c r="U4" i="49"/>
  <c r="F4" i="49"/>
  <c r="N4" i="49" s="1"/>
  <c r="J3" i="49"/>
  <c r="P3" i="49"/>
  <c r="B88" i="48"/>
  <c r="F87" i="48"/>
  <c r="N87" i="48" s="1"/>
  <c r="J86" i="48"/>
  <c r="P86" i="48"/>
  <c r="B84" i="48"/>
  <c r="J81" i="48"/>
  <c r="P81" i="48"/>
  <c r="J80" i="48"/>
  <c r="P80" i="48"/>
  <c r="J79" i="48"/>
  <c r="P79" i="48"/>
  <c r="F79" i="48"/>
  <c r="L79" i="48" s="1"/>
  <c r="B75" i="48"/>
  <c r="J73" i="48"/>
  <c r="P73" i="48"/>
  <c r="F73" i="48"/>
  <c r="L73" i="48" s="1"/>
  <c r="N73" i="48"/>
  <c r="F71" i="48"/>
  <c r="N71" i="48"/>
  <c r="J70" i="48"/>
  <c r="M70" i="48" s="1"/>
  <c r="J66" i="48"/>
  <c r="P66" i="48"/>
  <c r="Q62" i="48"/>
  <c r="O62" i="48"/>
  <c r="S61" i="48" s="1"/>
  <c r="B61" i="48"/>
  <c r="J60" i="48"/>
  <c r="P60" i="48"/>
  <c r="F60" i="48"/>
  <c r="N60" i="48" s="1"/>
  <c r="J59" i="48"/>
  <c r="P59" i="48" s="1"/>
  <c r="F59" i="48"/>
  <c r="N59" i="48" s="1"/>
  <c r="J58" i="48"/>
  <c r="M58" i="48" s="1"/>
  <c r="P58" i="48"/>
  <c r="F58" i="48"/>
  <c r="L58" i="48" s="1"/>
  <c r="J57" i="48"/>
  <c r="P57" i="48" s="1"/>
  <c r="F57" i="48"/>
  <c r="N57" i="48" s="1"/>
  <c r="J56" i="48"/>
  <c r="P56" i="48"/>
  <c r="B55" i="48"/>
  <c r="J54" i="48"/>
  <c r="M54" i="48" s="1"/>
  <c r="P54" i="48"/>
  <c r="O54" i="48"/>
  <c r="S53" i="48" s="1"/>
  <c r="J52" i="48"/>
  <c r="P52" i="48"/>
  <c r="F52" i="48"/>
  <c r="N52" i="48"/>
  <c r="J51" i="48"/>
  <c r="P51" i="48"/>
  <c r="F51" i="48"/>
  <c r="N51" i="48" s="1"/>
  <c r="J50" i="48"/>
  <c r="P50" i="48" s="1"/>
  <c r="F50" i="48"/>
  <c r="N50" i="48" s="1"/>
  <c r="J49" i="48"/>
  <c r="F49" i="48"/>
  <c r="N49" i="48"/>
  <c r="B47" i="48"/>
  <c r="J46" i="48"/>
  <c r="P46" i="48" s="1"/>
  <c r="F46" i="48"/>
  <c r="N46" i="48" s="1"/>
  <c r="J45" i="48"/>
  <c r="P45" i="48" s="1"/>
  <c r="F45" i="48"/>
  <c r="L45" i="48" s="1"/>
  <c r="J44" i="48"/>
  <c r="P44" i="48" s="1"/>
  <c r="F44" i="48"/>
  <c r="N44" i="48" s="1"/>
  <c r="J43" i="48"/>
  <c r="P43" i="48" s="1"/>
  <c r="F43" i="48"/>
  <c r="J42" i="48"/>
  <c r="P42" i="48"/>
  <c r="F42" i="48"/>
  <c r="L42" i="48" s="1"/>
  <c r="J41" i="48"/>
  <c r="P41" i="48"/>
  <c r="F41" i="48"/>
  <c r="J40" i="48"/>
  <c r="F40" i="48"/>
  <c r="N40" i="48"/>
  <c r="B38" i="48"/>
  <c r="J37" i="48"/>
  <c r="P37" i="48" s="1"/>
  <c r="F37" i="48"/>
  <c r="N37" i="48" s="1"/>
  <c r="J36" i="48"/>
  <c r="P36" i="48" s="1"/>
  <c r="F36" i="48"/>
  <c r="L36" i="48" s="1"/>
  <c r="N36" i="48"/>
  <c r="J33" i="48"/>
  <c r="P33" i="48" s="1"/>
  <c r="F33" i="48"/>
  <c r="N33" i="48" s="1"/>
  <c r="J32" i="48"/>
  <c r="P32" i="48" s="1"/>
  <c r="F32" i="48"/>
  <c r="N32" i="48"/>
  <c r="B31" i="48"/>
  <c r="J30" i="48"/>
  <c r="P30" i="48"/>
  <c r="F30" i="48"/>
  <c r="J24" i="48"/>
  <c r="P24" i="48" s="1"/>
  <c r="B22" i="48"/>
  <c r="F21" i="48"/>
  <c r="N21" i="48" s="1"/>
  <c r="B19" i="48"/>
  <c r="B15" i="48"/>
  <c r="F14" i="48"/>
  <c r="N14" i="48" s="1"/>
  <c r="J13" i="48"/>
  <c r="P13" i="48" s="1"/>
  <c r="F13" i="48"/>
  <c r="L13" i="48" s="1"/>
  <c r="N13" i="48"/>
  <c r="B9" i="48"/>
  <c r="J8" i="48"/>
  <c r="J7" i="48"/>
  <c r="P7" i="48" s="1"/>
  <c r="F7" i="48"/>
  <c r="N7" i="48" s="1"/>
  <c r="U4" i="48"/>
  <c r="B88" i="47"/>
  <c r="F87" i="47"/>
  <c r="N87" i="47" s="1"/>
  <c r="J86" i="47"/>
  <c r="P86" i="47" s="1"/>
  <c r="B84" i="47"/>
  <c r="J79" i="47"/>
  <c r="P79" i="47"/>
  <c r="F79" i="47"/>
  <c r="N79" i="47" s="1"/>
  <c r="J77" i="47"/>
  <c r="P77" i="47" s="1"/>
  <c r="B75" i="47"/>
  <c r="J68" i="47"/>
  <c r="Q62" i="47"/>
  <c r="O62" i="47"/>
  <c r="B61" i="47"/>
  <c r="J60" i="47"/>
  <c r="M60" i="47" s="1"/>
  <c r="F60" i="47"/>
  <c r="L60" i="47" s="1"/>
  <c r="N60" i="47"/>
  <c r="J59" i="47"/>
  <c r="F59" i="47"/>
  <c r="N59" i="47" s="1"/>
  <c r="F58" i="47"/>
  <c r="N58" i="47" s="1"/>
  <c r="J57" i="47"/>
  <c r="M57" i="47" s="1"/>
  <c r="B55" i="47"/>
  <c r="Q54" i="47"/>
  <c r="F52" i="47"/>
  <c r="J51" i="47"/>
  <c r="P51" i="47" s="1"/>
  <c r="F51" i="47"/>
  <c r="L51" i="47" s="1"/>
  <c r="N51" i="47"/>
  <c r="F50" i="47"/>
  <c r="N50" i="47" s="1"/>
  <c r="F49" i="47"/>
  <c r="N49" i="47" s="1"/>
  <c r="B47" i="47"/>
  <c r="F46" i="47"/>
  <c r="N46" i="47"/>
  <c r="F45" i="47"/>
  <c r="L45" i="47" s="1"/>
  <c r="J44" i="47"/>
  <c r="M44" i="47" s="1"/>
  <c r="P44" i="47"/>
  <c r="F44" i="47"/>
  <c r="N44" i="47"/>
  <c r="J43" i="47"/>
  <c r="P43" i="47"/>
  <c r="F43" i="47"/>
  <c r="N43" i="47" s="1"/>
  <c r="J42" i="47"/>
  <c r="P42" i="47"/>
  <c r="F42" i="47"/>
  <c r="N42" i="47"/>
  <c r="J41" i="47"/>
  <c r="P41" i="47"/>
  <c r="J40" i="47"/>
  <c r="P40" i="47" s="1"/>
  <c r="F40" i="47"/>
  <c r="N40" i="47"/>
  <c r="B38" i="47"/>
  <c r="F37" i="47"/>
  <c r="N37" i="47" s="1"/>
  <c r="F36" i="47"/>
  <c r="N36" i="47" s="1"/>
  <c r="B31" i="47"/>
  <c r="J30" i="47"/>
  <c r="P30" i="47" s="1"/>
  <c r="F30" i="47"/>
  <c r="N30" i="47" s="1"/>
  <c r="J29" i="47"/>
  <c r="J24" i="47"/>
  <c r="P24" i="47"/>
  <c r="B22" i="47"/>
  <c r="B19" i="47"/>
  <c r="B15" i="47"/>
  <c r="J14" i="47"/>
  <c r="P14" i="47" s="1"/>
  <c r="J13" i="47"/>
  <c r="P13" i="47" s="1"/>
  <c r="F13" i="47"/>
  <c r="L13" i="47" s="1"/>
  <c r="N13" i="47"/>
  <c r="B9" i="47"/>
  <c r="J8" i="47"/>
  <c r="P8" i="47"/>
  <c r="J7" i="47"/>
  <c r="M7" i="47" s="1"/>
  <c r="F7" i="47"/>
  <c r="L7" i="47" s="1"/>
  <c r="U4" i="47"/>
  <c r="B88" i="46"/>
  <c r="F87" i="46"/>
  <c r="N87" i="46" s="1"/>
  <c r="J86" i="46"/>
  <c r="P86" i="46" s="1"/>
  <c r="B84" i="46"/>
  <c r="F79" i="46"/>
  <c r="N79" i="46"/>
  <c r="B75" i="46"/>
  <c r="J71" i="46"/>
  <c r="P71" i="46" s="1"/>
  <c r="J69" i="46"/>
  <c r="P69" i="46" s="1"/>
  <c r="J68" i="46"/>
  <c r="P68" i="46" s="1"/>
  <c r="J67" i="46"/>
  <c r="M67" i="46" s="1"/>
  <c r="P67" i="46"/>
  <c r="J66" i="46"/>
  <c r="P66" i="46" s="1"/>
  <c r="J65" i="46"/>
  <c r="P65" i="46" s="1"/>
  <c r="O62" i="46"/>
  <c r="B61" i="46"/>
  <c r="F60" i="46"/>
  <c r="L60" i="46" s="1"/>
  <c r="N60" i="46"/>
  <c r="F59" i="46"/>
  <c r="N59" i="46" s="1"/>
  <c r="F58" i="46"/>
  <c r="N58" i="46" s="1"/>
  <c r="F57" i="46"/>
  <c r="N57" i="46" s="1"/>
  <c r="B55" i="46"/>
  <c r="O54" i="46"/>
  <c r="S53" i="46" s="1"/>
  <c r="F52" i="46"/>
  <c r="N52" i="46" s="1"/>
  <c r="F51" i="46"/>
  <c r="N51" i="46"/>
  <c r="F50" i="46"/>
  <c r="F49" i="46"/>
  <c r="N49" i="46" s="1"/>
  <c r="B47" i="46"/>
  <c r="F44" i="46"/>
  <c r="L44" i="46" s="1"/>
  <c r="F43" i="46"/>
  <c r="L43" i="46" s="1"/>
  <c r="N43" i="46"/>
  <c r="F42" i="46"/>
  <c r="N42" i="46"/>
  <c r="F41" i="46"/>
  <c r="N41" i="46"/>
  <c r="F40" i="46"/>
  <c r="L40" i="46" s="1"/>
  <c r="B38" i="46"/>
  <c r="F37" i="46"/>
  <c r="N37" i="46" s="1"/>
  <c r="F36" i="46"/>
  <c r="B31" i="46"/>
  <c r="F29" i="46"/>
  <c r="L29" i="46" s="1"/>
  <c r="N29" i="46"/>
  <c r="J24" i="46"/>
  <c r="P24" i="46" s="1"/>
  <c r="B22" i="46"/>
  <c r="J21" i="46"/>
  <c r="P21" i="46"/>
  <c r="B19" i="46"/>
  <c r="B15" i="46"/>
  <c r="B9" i="46"/>
  <c r="J8" i="46"/>
  <c r="F7" i="46"/>
  <c r="N7" i="46"/>
  <c r="U4" i="46"/>
  <c r="J4" i="46"/>
  <c r="B88" i="45"/>
  <c r="F87" i="45"/>
  <c r="L87" i="45" s="1"/>
  <c r="N87" i="45"/>
  <c r="J86" i="45"/>
  <c r="P86" i="45" s="1"/>
  <c r="B84" i="45"/>
  <c r="J81" i="45"/>
  <c r="F79" i="45"/>
  <c r="N79" i="45" s="1"/>
  <c r="J77" i="45"/>
  <c r="P77" i="45" s="1"/>
  <c r="B75" i="45"/>
  <c r="J71" i="45"/>
  <c r="P71" i="45" s="1"/>
  <c r="J70" i="45"/>
  <c r="M70" i="45" s="1"/>
  <c r="J69" i="45"/>
  <c r="P69" i="45"/>
  <c r="J68" i="45"/>
  <c r="P68" i="45"/>
  <c r="J67" i="45"/>
  <c r="M67" i="45" s="1"/>
  <c r="J66" i="45"/>
  <c r="J65" i="45"/>
  <c r="P65" i="45" s="1"/>
  <c r="O62" i="45"/>
  <c r="S61" i="45" s="1"/>
  <c r="F60" i="45"/>
  <c r="N60" i="45"/>
  <c r="F59" i="45"/>
  <c r="L59" i="45" s="1"/>
  <c r="F58" i="45"/>
  <c r="N58" i="45"/>
  <c r="F56" i="45"/>
  <c r="N56" i="45"/>
  <c r="B55" i="45"/>
  <c r="O54" i="45"/>
  <c r="S53" i="45" s="1"/>
  <c r="F52" i="45"/>
  <c r="N52" i="45" s="1"/>
  <c r="F51" i="45"/>
  <c r="L51" i="45" s="1"/>
  <c r="F50" i="45"/>
  <c r="F49" i="45"/>
  <c r="B47" i="45"/>
  <c r="J45" i="45"/>
  <c r="P45" i="45" s="1"/>
  <c r="F44" i="45"/>
  <c r="L44" i="45" s="1"/>
  <c r="N44" i="45"/>
  <c r="F43" i="45"/>
  <c r="N43" i="45" s="1"/>
  <c r="F42" i="45"/>
  <c r="N42" i="45" s="1"/>
  <c r="F41" i="45"/>
  <c r="N41" i="45" s="1"/>
  <c r="F40" i="45"/>
  <c r="L40" i="45" s="1"/>
  <c r="N40" i="45"/>
  <c r="B38" i="45"/>
  <c r="F37" i="45"/>
  <c r="N37" i="45"/>
  <c r="F36" i="45"/>
  <c r="J33" i="45"/>
  <c r="M33" i="45" s="1"/>
  <c r="B31" i="45"/>
  <c r="J30" i="45"/>
  <c r="M30" i="45" s="1"/>
  <c r="J27" i="45"/>
  <c r="P27" i="45"/>
  <c r="J24" i="45"/>
  <c r="P24" i="45"/>
  <c r="B22" i="45"/>
  <c r="J21" i="45"/>
  <c r="P21" i="45"/>
  <c r="B19" i="45"/>
  <c r="B15" i="45"/>
  <c r="J14" i="45"/>
  <c r="P14" i="45" s="1"/>
  <c r="J13" i="45"/>
  <c r="P13" i="45"/>
  <c r="B9" i="45"/>
  <c r="J8" i="45"/>
  <c r="M8" i="45" s="1"/>
  <c r="P8" i="45"/>
  <c r="U4" i="45"/>
  <c r="J4" i="45"/>
  <c r="P4" i="45"/>
  <c r="J3" i="45"/>
  <c r="P3" i="45"/>
  <c r="R495" i="44"/>
  <c r="R494" i="44"/>
  <c r="R493" i="44"/>
  <c r="R492" i="44"/>
  <c r="R491" i="44"/>
  <c r="R490" i="44"/>
  <c r="R489" i="44"/>
  <c r="R488" i="44"/>
  <c r="R487" i="44"/>
  <c r="R486" i="44"/>
  <c r="R485" i="44"/>
  <c r="R484" i="44"/>
  <c r="R483" i="44"/>
  <c r="R482" i="44"/>
  <c r="R481" i="44"/>
  <c r="R480" i="44"/>
  <c r="R479" i="44"/>
  <c r="R478" i="44"/>
  <c r="R477" i="44"/>
  <c r="R476" i="44"/>
  <c r="R475" i="44"/>
  <c r="R474" i="44"/>
  <c r="R473" i="44"/>
  <c r="R472" i="44"/>
  <c r="R471" i="44"/>
  <c r="R470" i="44"/>
  <c r="R469" i="44"/>
  <c r="R468" i="44"/>
  <c r="R467" i="44"/>
  <c r="R466" i="44"/>
  <c r="R465" i="44"/>
  <c r="R464" i="44"/>
  <c r="R463" i="44"/>
  <c r="R462" i="44"/>
  <c r="R461" i="44"/>
  <c r="R460" i="44"/>
  <c r="R459" i="44"/>
  <c r="R458" i="44"/>
  <c r="R457" i="44"/>
  <c r="R456" i="44"/>
  <c r="R455" i="44"/>
  <c r="R454" i="44"/>
  <c r="R453" i="44"/>
  <c r="R452" i="44"/>
  <c r="R451" i="44"/>
  <c r="R450" i="44"/>
  <c r="R449" i="44"/>
  <c r="R448" i="44"/>
  <c r="R447" i="44"/>
  <c r="R446" i="44"/>
  <c r="G82" i="49"/>
  <c r="R445" i="44"/>
  <c r="R444" i="44"/>
  <c r="R443" i="44"/>
  <c r="R442" i="44"/>
  <c r="R441" i="44"/>
  <c r="R440" i="44"/>
  <c r="R439" i="44"/>
  <c r="R438" i="44"/>
  <c r="R437" i="44"/>
  <c r="R436" i="44"/>
  <c r="R435" i="44"/>
  <c r="R434" i="44"/>
  <c r="R433" i="44"/>
  <c r="R432" i="44"/>
  <c r="R431" i="44"/>
  <c r="R430" i="44"/>
  <c r="R429" i="44"/>
  <c r="G81" i="47"/>
  <c r="R428" i="44"/>
  <c r="R427" i="44"/>
  <c r="R426" i="44"/>
  <c r="R425" i="44"/>
  <c r="R424" i="44"/>
  <c r="R423" i="44"/>
  <c r="R422" i="44"/>
  <c r="R421" i="44"/>
  <c r="G80" i="46"/>
  <c r="R420" i="44"/>
  <c r="G80" i="45"/>
  <c r="R419" i="44"/>
  <c r="R418" i="44"/>
  <c r="R417" i="44"/>
  <c r="R416" i="44"/>
  <c r="R415" i="44"/>
  <c r="R414" i="44"/>
  <c r="R413" i="44"/>
  <c r="R412" i="44"/>
  <c r="R411" i="44"/>
  <c r="R410" i="44"/>
  <c r="R409" i="44"/>
  <c r="V408" i="44"/>
  <c r="R408" i="44"/>
  <c r="R407" i="44"/>
  <c r="R406" i="44"/>
  <c r="R405" i="44"/>
  <c r="R404" i="44"/>
  <c r="R403" i="44"/>
  <c r="R402" i="44"/>
  <c r="R401" i="44"/>
  <c r="R400" i="44"/>
  <c r="R399" i="44"/>
  <c r="R398" i="44"/>
  <c r="R397" i="44"/>
  <c r="R396" i="44"/>
  <c r="R395" i="44"/>
  <c r="R394" i="44"/>
  <c r="V393" i="44"/>
  <c r="R393" i="44"/>
  <c r="R392" i="44"/>
  <c r="R391" i="44"/>
  <c r="R390" i="44"/>
  <c r="R389" i="44"/>
  <c r="R388" i="44"/>
  <c r="R387" i="44"/>
  <c r="R386" i="44"/>
  <c r="R385" i="44"/>
  <c r="R384" i="44"/>
  <c r="R383" i="44"/>
  <c r="R382" i="44"/>
  <c r="R381" i="44"/>
  <c r="R380" i="44"/>
  <c r="R379" i="44"/>
  <c r="R378" i="44"/>
  <c r="R377" i="44"/>
  <c r="R376" i="44"/>
  <c r="R375" i="44"/>
  <c r="R374" i="44"/>
  <c r="R373" i="44"/>
  <c r="R372" i="44"/>
  <c r="R371" i="44"/>
  <c r="R370" i="44"/>
  <c r="R369" i="44"/>
  <c r="R368" i="44"/>
  <c r="R367" i="44"/>
  <c r="R366" i="44"/>
  <c r="R365" i="44"/>
  <c r="R364" i="44"/>
  <c r="R363" i="44"/>
  <c r="R362" i="44"/>
  <c r="G72" i="45"/>
  <c r="R361" i="44"/>
  <c r="R360" i="44"/>
  <c r="R359" i="44"/>
  <c r="R358" i="44"/>
  <c r="R357" i="44"/>
  <c r="R356" i="44"/>
  <c r="R355" i="44"/>
  <c r="R354" i="44"/>
  <c r="R353" i="44"/>
  <c r="R352" i="44"/>
  <c r="R351" i="44"/>
  <c r="G71" i="47"/>
  <c r="R350" i="44"/>
  <c r="R349" i="44"/>
  <c r="R348" i="44"/>
  <c r="R347" i="44"/>
  <c r="R346" i="44"/>
  <c r="R345" i="44"/>
  <c r="R344" i="44"/>
  <c r="R343" i="44"/>
  <c r="G70" i="46"/>
  <c r="R342" i="44"/>
  <c r="R341" i="44"/>
  <c r="R340" i="44"/>
  <c r="R339" i="44"/>
  <c r="R338" i="44"/>
  <c r="R337" i="44"/>
  <c r="R336" i="44"/>
  <c r="R335" i="44"/>
  <c r="R334" i="44"/>
  <c r="R333" i="44"/>
  <c r="R332" i="44"/>
  <c r="R331" i="44"/>
  <c r="R330" i="44"/>
  <c r="R329" i="44"/>
  <c r="R328" i="44"/>
  <c r="R327" i="44"/>
  <c r="R326" i="44"/>
  <c r="R325" i="44"/>
  <c r="R324" i="44"/>
  <c r="R323" i="44"/>
  <c r="R322" i="44"/>
  <c r="R321" i="44"/>
  <c r="R320" i="44"/>
  <c r="R319" i="44"/>
  <c r="R318" i="44"/>
  <c r="R317" i="44"/>
  <c r="R316" i="44"/>
  <c r="R315" i="44"/>
  <c r="R314" i="44"/>
  <c r="R313" i="44"/>
  <c r="R312" i="44"/>
  <c r="G66" i="47"/>
  <c r="R311" i="44"/>
  <c r="R309" i="44"/>
  <c r="R308" i="44"/>
  <c r="R307" i="44"/>
  <c r="G66" i="49"/>
  <c r="R306" i="44"/>
  <c r="R305" i="44"/>
  <c r="R304" i="44"/>
  <c r="R303" i="44"/>
  <c r="R302" i="44"/>
  <c r="R301" i="44"/>
  <c r="R300" i="44"/>
  <c r="R299" i="44"/>
  <c r="R298" i="44"/>
  <c r="R297" i="44"/>
  <c r="R296" i="44"/>
  <c r="R295" i="44"/>
  <c r="R294" i="44"/>
  <c r="R293" i="44"/>
  <c r="R292" i="44"/>
  <c r="R291" i="44"/>
  <c r="R289" i="44"/>
  <c r="R288" i="44"/>
  <c r="R287" i="44"/>
  <c r="R286" i="44"/>
  <c r="R285" i="44"/>
  <c r="R284" i="44"/>
  <c r="R283" i="44"/>
  <c r="R282" i="44"/>
  <c r="R281" i="44"/>
  <c r="R280" i="44"/>
  <c r="R279" i="44"/>
  <c r="R278" i="44"/>
  <c r="R277" i="44"/>
  <c r="R276" i="44"/>
  <c r="R275" i="44"/>
  <c r="R274" i="44"/>
  <c r="R273" i="44"/>
  <c r="R272" i="44"/>
  <c r="R271" i="44"/>
  <c r="R270" i="44"/>
  <c r="R269" i="44"/>
  <c r="R268" i="44"/>
  <c r="R267" i="44"/>
  <c r="R266" i="44"/>
  <c r="R265" i="44"/>
  <c r="R264" i="44"/>
  <c r="R263" i="44"/>
  <c r="R262" i="44"/>
  <c r="R261" i="44"/>
  <c r="R260" i="44"/>
  <c r="R259" i="44"/>
  <c r="R258" i="44"/>
  <c r="R257" i="44"/>
  <c r="R256" i="44"/>
  <c r="R255" i="44"/>
  <c r="R254" i="44"/>
  <c r="R253" i="44"/>
  <c r="R252" i="44"/>
  <c r="R251" i="44"/>
  <c r="R250" i="44"/>
  <c r="R249" i="44"/>
  <c r="R248" i="44"/>
  <c r="R247" i="44"/>
  <c r="R246" i="44"/>
  <c r="R245" i="44"/>
  <c r="R244" i="44"/>
  <c r="R243" i="44"/>
  <c r="R242" i="44"/>
  <c r="R241" i="44"/>
  <c r="R240" i="44"/>
  <c r="R239" i="44"/>
  <c r="R238" i="44"/>
  <c r="R237" i="44"/>
  <c r="R236" i="44"/>
  <c r="R235" i="44"/>
  <c r="R234" i="44"/>
  <c r="R233" i="44"/>
  <c r="R232" i="44"/>
  <c r="R231" i="44"/>
  <c r="R230" i="44"/>
  <c r="R229" i="44"/>
  <c r="R228" i="44"/>
  <c r="R227" i="44"/>
  <c r="R226" i="44"/>
  <c r="R225" i="44"/>
  <c r="R224" i="44"/>
  <c r="R223" i="44"/>
  <c r="R222" i="44"/>
  <c r="R221" i="44"/>
  <c r="R220" i="44"/>
  <c r="R219" i="44"/>
  <c r="R218" i="44"/>
  <c r="R217" i="44"/>
  <c r="R216" i="44"/>
  <c r="R215" i="44"/>
  <c r="R214" i="44"/>
  <c r="R213" i="44"/>
  <c r="R212" i="44"/>
  <c r="R211" i="44"/>
  <c r="R210" i="44"/>
  <c r="R209" i="44"/>
  <c r="R208" i="44"/>
  <c r="R207" i="44"/>
  <c r="R206" i="44"/>
  <c r="R205" i="44"/>
  <c r="R204" i="44"/>
  <c r="R203" i="44"/>
  <c r="R202" i="44"/>
  <c r="R201" i="44"/>
  <c r="R200" i="44"/>
  <c r="R199" i="44"/>
  <c r="R198" i="44"/>
  <c r="R197" i="44"/>
  <c r="R196" i="44"/>
  <c r="R195" i="44"/>
  <c r="R194" i="44"/>
  <c r="R193" i="44"/>
  <c r="R192" i="44"/>
  <c r="R191" i="44"/>
  <c r="R190" i="44"/>
  <c r="R189" i="44"/>
  <c r="R188" i="44"/>
  <c r="R187" i="44"/>
  <c r="R186" i="44"/>
  <c r="R185" i="44"/>
  <c r="R184" i="44"/>
  <c r="R183" i="44"/>
  <c r="R182" i="44"/>
  <c r="R181" i="44"/>
  <c r="R180" i="44"/>
  <c r="R179" i="44"/>
  <c r="R178" i="44"/>
  <c r="R177" i="44"/>
  <c r="R176" i="44"/>
  <c r="R175" i="44"/>
  <c r="R174" i="44"/>
  <c r="R173" i="44"/>
  <c r="R172" i="44"/>
  <c r="R171" i="44"/>
  <c r="R170" i="44"/>
  <c r="R169" i="44"/>
  <c r="G32" i="45"/>
  <c r="R168" i="44"/>
  <c r="R167" i="44"/>
  <c r="R166" i="44"/>
  <c r="R164" i="44"/>
  <c r="R163" i="44"/>
  <c r="R162" i="44"/>
  <c r="R161" i="44"/>
  <c r="R160" i="44"/>
  <c r="R159" i="44"/>
  <c r="R158" i="44"/>
  <c r="R157" i="44"/>
  <c r="R156" i="44"/>
  <c r="R155" i="44"/>
  <c r="R154" i="44"/>
  <c r="G29" i="45"/>
  <c r="R153" i="44"/>
  <c r="R152" i="44"/>
  <c r="R151" i="44"/>
  <c r="R149" i="44"/>
  <c r="R148" i="44"/>
  <c r="G27" i="46"/>
  <c r="R147" i="44"/>
  <c r="G27" i="48"/>
  <c r="R146" i="44"/>
  <c r="R145" i="44"/>
  <c r="R144" i="44"/>
  <c r="R143" i="44"/>
  <c r="R142" i="44"/>
  <c r="R141" i="44"/>
  <c r="R140" i="44"/>
  <c r="R139" i="44"/>
  <c r="R138" i="44"/>
  <c r="R137" i="44"/>
  <c r="R136" i="44"/>
  <c r="R135" i="44"/>
  <c r="R133" i="44"/>
  <c r="R132" i="44"/>
  <c r="R131" i="44"/>
  <c r="R130" i="44"/>
  <c r="R129" i="44"/>
  <c r="R128" i="44"/>
  <c r="R127" i="44"/>
  <c r="R126" i="44"/>
  <c r="R125" i="44"/>
  <c r="R124" i="44"/>
  <c r="R123" i="44"/>
  <c r="R121" i="44"/>
  <c r="R120" i="44"/>
  <c r="R119" i="44"/>
  <c r="R118" i="44"/>
  <c r="G21" i="47"/>
  <c r="R117" i="44"/>
  <c r="R116" i="44"/>
  <c r="R115" i="44"/>
  <c r="R114" i="44"/>
  <c r="R113" i="44"/>
  <c r="R112" i="44"/>
  <c r="R111" i="44"/>
  <c r="R110" i="44"/>
  <c r="R109" i="44"/>
  <c r="R108" i="44"/>
  <c r="R107" i="44"/>
  <c r="R106" i="44"/>
  <c r="R105" i="44"/>
  <c r="G18" i="48"/>
  <c r="R104" i="44"/>
  <c r="R103" i="44"/>
  <c r="R102" i="44"/>
  <c r="R101" i="44"/>
  <c r="R100" i="44"/>
  <c r="R99" i="44"/>
  <c r="R98" i="44"/>
  <c r="R97" i="44"/>
  <c r="R96" i="44"/>
  <c r="R95" i="44"/>
  <c r="R94" i="44"/>
  <c r="R93" i="44"/>
  <c r="R92" i="44"/>
  <c r="R91" i="44"/>
  <c r="R90" i="44"/>
  <c r="R89" i="44"/>
  <c r="R88" i="44"/>
  <c r="R87" i="44"/>
  <c r="R86" i="44"/>
  <c r="R85" i="44"/>
  <c r="R84" i="44"/>
  <c r="G14" i="46"/>
  <c r="R83" i="44"/>
  <c r="R82" i="44"/>
  <c r="R81" i="44"/>
  <c r="R80" i="44"/>
  <c r="R79" i="44"/>
  <c r="R78" i="44"/>
  <c r="R77" i="44"/>
  <c r="R76" i="44"/>
  <c r="R75" i="44"/>
  <c r="R74" i="44"/>
  <c r="R73" i="44"/>
  <c r="R72" i="44"/>
  <c r="R71" i="44"/>
  <c r="R70" i="44"/>
  <c r="R69" i="44"/>
  <c r="R68" i="44"/>
  <c r="R67" i="44"/>
  <c r="R66" i="44"/>
  <c r="R65" i="44"/>
  <c r="R64" i="44"/>
  <c r="R63" i="44"/>
  <c r="R62" i="44"/>
  <c r="R61" i="44"/>
  <c r="R60" i="44"/>
  <c r="R59" i="44"/>
  <c r="R57" i="44"/>
  <c r="R56" i="44"/>
  <c r="R55" i="44"/>
  <c r="R54" i="44"/>
  <c r="G11" i="49"/>
  <c r="R53" i="44"/>
  <c r="R52" i="44"/>
  <c r="R51" i="44"/>
  <c r="R50" i="44"/>
  <c r="R49" i="44"/>
  <c r="R48" i="44"/>
  <c r="R47" i="44"/>
  <c r="R46" i="44"/>
  <c r="R45" i="44"/>
  <c r="R44" i="44"/>
  <c r="R43" i="44"/>
  <c r="R42" i="44"/>
  <c r="R41" i="44"/>
  <c r="R40" i="44"/>
  <c r="R39" i="44"/>
  <c r="R38" i="44"/>
  <c r="R37" i="44"/>
  <c r="R36" i="44"/>
  <c r="R35" i="44"/>
  <c r="R34" i="44"/>
  <c r="R33" i="44"/>
  <c r="R32" i="44"/>
  <c r="R31" i="44"/>
  <c r="R30" i="44"/>
  <c r="R29" i="44"/>
  <c r="R28" i="44"/>
  <c r="R27" i="44"/>
  <c r="R26" i="44"/>
  <c r="R25" i="44"/>
  <c r="R24" i="44"/>
  <c r="C7" i="45"/>
  <c r="R23" i="44"/>
  <c r="R22" i="44"/>
  <c r="R21" i="44"/>
  <c r="R20" i="44"/>
  <c r="R19" i="44"/>
  <c r="R18" i="44"/>
  <c r="R17" i="44"/>
  <c r="R16" i="44"/>
  <c r="R15" i="44"/>
  <c r="R14" i="44"/>
  <c r="R13" i="44"/>
  <c r="R12" i="44"/>
  <c r="R11" i="44"/>
  <c r="R10" i="44"/>
  <c r="R9" i="44"/>
  <c r="R8" i="44"/>
  <c r="R7" i="44"/>
  <c r="G3" i="46"/>
  <c r="R6" i="44"/>
  <c r="C3" i="46"/>
  <c r="E435" i="44"/>
  <c r="E182" i="44"/>
  <c r="E57" i="44"/>
  <c r="E489" i="44"/>
  <c r="E343" i="44"/>
  <c r="E236" i="44"/>
  <c r="E77" i="44"/>
  <c r="E385" i="44"/>
  <c r="E9" i="44"/>
  <c r="E414" i="44"/>
  <c r="E35" i="44"/>
  <c r="E166" i="44"/>
  <c r="E87" i="44"/>
  <c r="E368" i="44"/>
  <c r="E13" i="44"/>
  <c r="E221" i="44"/>
  <c r="E317" i="44"/>
  <c r="E199" i="44"/>
  <c r="G82" i="47"/>
  <c r="G33" i="46"/>
  <c r="G27" i="47"/>
  <c r="G82" i="48"/>
  <c r="G45" i="46"/>
  <c r="E122" i="44"/>
  <c r="G12" i="45"/>
  <c r="G16" i="48"/>
  <c r="G69" i="48"/>
  <c r="G70" i="47"/>
  <c r="G72" i="46"/>
  <c r="G83" i="47"/>
  <c r="G6" i="45"/>
  <c r="G67" i="48"/>
  <c r="C72" i="47"/>
  <c r="G77" i="46"/>
  <c r="G82" i="46"/>
  <c r="G6" i="46"/>
  <c r="G10" i="46"/>
  <c r="G33" i="47"/>
  <c r="C69" i="49"/>
  <c r="C10" i="48"/>
  <c r="C10" i="49"/>
  <c r="C12" i="48"/>
  <c r="C12" i="47"/>
  <c r="C12" i="45"/>
  <c r="C12" i="49"/>
  <c r="C12" i="46"/>
  <c r="C13" i="46"/>
  <c r="C13" i="45"/>
  <c r="G20" i="46"/>
  <c r="G20" i="45"/>
  <c r="G20" i="48"/>
  <c r="G20" i="47"/>
  <c r="G4" i="47"/>
  <c r="C4" i="46"/>
  <c r="G4" i="48"/>
  <c r="C4" i="45"/>
  <c r="C71" i="47"/>
  <c r="C71" i="45"/>
  <c r="C71" i="46"/>
  <c r="G71" i="48"/>
  <c r="G73" i="46"/>
  <c r="C73" i="47"/>
  <c r="G82" i="45"/>
  <c r="G85" i="46"/>
  <c r="G85" i="47"/>
  <c r="G85" i="48"/>
  <c r="G85" i="49"/>
  <c r="G85" i="45"/>
  <c r="G90" i="45"/>
  <c r="G90" i="49"/>
  <c r="G90" i="47"/>
  <c r="G90" i="46"/>
  <c r="G90" i="48"/>
  <c r="G18" i="47"/>
  <c r="G18" i="46"/>
  <c r="G11" i="47"/>
  <c r="G11" i="45"/>
  <c r="G11" i="46"/>
  <c r="G17" i="45"/>
  <c r="G17" i="46"/>
  <c r="G26" i="45"/>
  <c r="G26" i="46"/>
  <c r="C30" i="45"/>
  <c r="G30" i="46"/>
  <c r="G35" i="47"/>
  <c r="G35" i="45"/>
  <c r="G35" i="46"/>
  <c r="G37" i="46"/>
  <c r="G37" i="45"/>
  <c r="G37" i="47"/>
  <c r="G42" i="45"/>
  <c r="G42" i="46"/>
  <c r="G44" i="45"/>
  <c r="G44" i="46"/>
  <c r="C86" i="47"/>
  <c r="C86" i="45"/>
  <c r="C86" i="48"/>
  <c r="C86" i="49"/>
  <c r="C86" i="46"/>
  <c r="G87" i="47"/>
  <c r="G87" i="48"/>
  <c r="G87" i="45"/>
  <c r="G87" i="46"/>
  <c r="G87" i="49"/>
  <c r="G60" i="46"/>
  <c r="G60" i="45"/>
  <c r="C69" i="48"/>
  <c r="G69" i="49"/>
  <c r="C69" i="47"/>
  <c r="G70" i="49"/>
  <c r="C70" i="45"/>
  <c r="C70" i="47"/>
  <c r="C70" i="46"/>
  <c r="C70" i="48"/>
  <c r="C72" i="49"/>
  <c r="C72" i="48"/>
  <c r="G73" i="47"/>
  <c r="C73" i="45"/>
  <c r="C73" i="46"/>
  <c r="G50" i="46"/>
  <c r="G50" i="47"/>
  <c r="G50" i="45"/>
  <c r="C4" i="47"/>
  <c r="G4" i="49"/>
  <c r="C4" i="48"/>
  <c r="C10" i="46"/>
  <c r="C10" i="45"/>
  <c r="G10" i="48"/>
  <c r="G10" i="47"/>
  <c r="G17" i="49"/>
  <c r="G17" i="48"/>
  <c r="G17" i="47"/>
  <c r="G18" i="45"/>
  <c r="G18" i="49"/>
  <c r="G21" i="48"/>
  <c r="C21" i="45"/>
  <c r="C21" i="47"/>
  <c r="C21" i="46"/>
  <c r="G32" i="47"/>
  <c r="C32" i="46"/>
  <c r="C32" i="45"/>
  <c r="C32" i="47"/>
  <c r="G40" i="45"/>
  <c r="G40" i="46"/>
  <c r="G49" i="47"/>
  <c r="G49" i="46"/>
  <c r="G49" i="45"/>
  <c r="G54" i="46"/>
  <c r="G54" i="45"/>
  <c r="G62" i="45"/>
  <c r="G62" i="46"/>
  <c r="C68" i="47"/>
  <c r="C68" i="46"/>
  <c r="C68" i="45"/>
  <c r="C68" i="49"/>
  <c r="C68" i="48"/>
  <c r="C74" i="49"/>
  <c r="C74" i="46"/>
  <c r="C74" i="45"/>
  <c r="C74" i="48"/>
  <c r="C74" i="47"/>
  <c r="G76" i="49"/>
  <c r="G76" i="46"/>
  <c r="G76" i="48"/>
  <c r="G76" i="45"/>
  <c r="G76" i="47"/>
  <c r="C91" i="49"/>
  <c r="C91" i="45"/>
  <c r="C91" i="47"/>
  <c r="C91" i="46"/>
  <c r="C91" i="48"/>
  <c r="C26" i="47"/>
  <c r="C26" i="48"/>
  <c r="G46" i="45"/>
  <c r="G46" i="46"/>
  <c r="G51" i="45"/>
  <c r="G51" i="46"/>
  <c r="G58" i="46"/>
  <c r="G58" i="45"/>
  <c r="G64" i="48"/>
  <c r="G64" i="47"/>
  <c r="C6" i="46"/>
  <c r="C6" i="45"/>
  <c r="G6" i="47"/>
  <c r="C10" i="47"/>
  <c r="G12" i="48"/>
  <c r="G12" i="47"/>
  <c r="C14" i="47"/>
  <c r="C14" i="46"/>
  <c r="C14" i="45"/>
  <c r="G14" i="49"/>
  <c r="G14" i="48"/>
  <c r="C18" i="49"/>
  <c r="C18" i="48"/>
  <c r="C18" i="47"/>
  <c r="C18" i="46"/>
  <c r="C18" i="45"/>
  <c r="C20" i="46"/>
  <c r="G20" i="49"/>
  <c r="C20" i="45"/>
  <c r="C20" i="48"/>
  <c r="C20" i="47"/>
  <c r="G23" i="47"/>
  <c r="G23" i="46"/>
  <c r="G23" i="45"/>
  <c r="C27" i="48"/>
  <c r="C27" i="47"/>
  <c r="C27" i="46"/>
  <c r="C27" i="45"/>
  <c r="G64" i="49"/>
  <c r="C8" i="48"/>
  <c r="C8" i="47"/>
  <c r="C8" i="45"/>
  <c r="C8" i="46"/>
  <c r="C8" i="49"/>
  <c r="C11" i="45"/>
  <c r="C11" i="48"/>
  <c r="C11" i="47"/>
  <c r="C11" i="49"/>
  <c r="C11" i="46"/>
  <c r="G12" i="46"/>
  <c r="G13" i="46"/>
  <c r="G16" i="49"/>
  <c r="G16" i="47"/>
  <c r="G16" i="45"/>
  <c r="G16" i="46"/>
  <c r="C20" i="49"/>
  <c r="G29" i="46"/>
  <c r="C29" i="45"/>
  <c r="G56" i="46"/>
  <c r="G56" i="45"/>
  <c r="G64" i="45"/>
  <c r="G64" i="46"/>
  <c r="G68" i="48"/>
  <c r="G68" i="49"/>
  <c r="G74" i="47"/>
  <c r="G74" i="49"/>
  <c r="G74" i="48"/>
  <c r="C77" i="49"/>
  <c r="C77" i="46"/>
  <c r="C77" i="48"/>
  <c r="C77" i="45"/>
  <c r="C77" i="47"/>
  <c r="C78" i="48"/>
  <c r="C78" i="47"/>
  <c r="C78" i="49"/>
  <c r="C78" i="46"/>
  <c r="C78" i="45"/>
  <c r="G79" i="45"/>
  <c r="G79" i="46"/>
  <c r="C83" i="49"/>
  <c r="G83" i="45"/>
  <c r="C83" i="47"/>
  <c r="C83" i="48"/>
  <c r="G83" i="46"/>
  <c r="C85" i="47"/>
  <c r="C85" i="46"/>
  <c r="C85" i="48"/>
  <c r="C85" i="45"/>
  <c r="C85" i="49"/>
  <c r="C89" i="47"/>
  <c r="C89" i="46"/>
  <c r="C89" i="45"/>
  <c r="C89" i="49"/>
  <c r="C89" i="48"/>
  <c r="G91" i="45"/>
  <c r="G91" i="49"/>
  <c r="G91" i="47"/>
  <c r="G91" i="46"/>
  <c r="G91" i="48"/>
  <c r="G12" i="49"/>
  <c r="C16" i="49"/>
  <c r="C16" i="48"/>
  <c r="C16" i="47"/>
  <c r="C16" i="45"/>
  <c r="C16" i="46"/>
  <c r="C17" i="49"/>
  <c r="C17" i="47"/>
  <c r="C17" i="45"/>
  <c r="C17" i="46"/>
  <c r="C17" i="48"/>
  <c r="G23" i="48"/>
  <c r="G26" i="48"/>
  <c r="G26" i="47"/>
  <c r="C26" i="45"/>
  <c r="C26" i="46"/>
  <c r="G32" i="46"/>
  <c r="G36" i="47"/>
  <c r="G36" i="46"/>
  <c r="G36" i="45"/>
  <c r="G45" i="47"/>
  <c r="C45" i="45"/>
  <c r="C45" i="46"/>
  <c r="G52" i="47"/>
  <c r="G52" i="46"/>
  <c r="G52" i="45"/>
  <c r="G59" i="46"/>
  <c r="G59" i="45"/>
  <c r="C70" i="49"/>
  <c r="G73" i="45"/>
  <c r="G74" i="46"/>
  <c r="G74" i="45"/>
  <c r="G77" i="48"/>
  <c r="G77" i="49"/>
  <c r="G80" i="47"/>
  <c r="C80" i="46"/>
  <c r="C80" i="45"/>
  <c r="C81" i="47"/>
  <c r="C81" i="48"/>
  <c r="C81" i="49"/>
  <c r="C81" i="45"/>
  <c r="C81" i="46"/>
  <c r="C82" i="48"/>
  <c r="C82" i="49"/>
  <c r="C82" i="45"/>
  <c r="C82" i="46"/>
  <c r="C82" i="47"/>
  <c r="G83" i="48"/>
  <c r="G83" i="49"/>
  <c r="G89" i="48"/>
  <c r="G89" i="49"/>
  <c r="G89" i="47"/>
  <c r="G41" i="46"/>
  <c r="G41" i="45"/>
  <c r="G43" i="46"/>
  <c r="G43" i="45"/>
  <c r="G48" i="46"/>
  <c r="G48" i="45"/>
  <c r="G48" i="47"/>
  <c r="C65" i="48"/>
  <c r="C65" i="49"/>
  <c r="C65" i="46"/>
  <c r="C65" i="45"/>
  <c r="C65" i="47"/>
  <c r="C66" i="48"/>
  <c r="C66" i="49"/>
  <c r="C66" i="46"/>
  <c r="C66" i="47"/>
  <c r="C66" i="45"/>
  <c r="C67" i="49"/>
  <c r="C67" i="47"/>
  <c r="C67" i="48"/>
  <c r="C67" i="45"/>
  <c r="C67" i="46"/>
  <c r="G67" i="47"/>
  <c r="G78" i="48"/>
  <c r="C80" i="49"/>
  <c r="C80" i="48"/>
  <c r="C80" i="47"/>
  <c r="G81" i="46"/>
  <c r="C83" i="46"/>
  <c r="C83" i="45"/>
  <c r="G89" i="46"/>
  <c r="G89" i="45"/>
  <c r="G3" i="47"/>
  <c r="C3" i="45"/>
  <c r="G7" i="45"/>
  <c r="G7" i="46"/>
  <c r="G11" i="48"/>
  <c r="C23" i="48"/>
  <c r="C23" i="45"/>
  <c r="C23" i="46"/>
  <c r="C23" i="47"/>
  <c r="G23" i="49"/>
  <c r="C24" i="47"/>
  <c r="G24" i="49"/>
  <c r="C24" i="46"/>
  <c r="C24" i="45"/>
  <c r="C24" i="48"/>
  <c r="C33" i="45"/>
  <c r="C33" i="46"/>
  <c r="C33" i="47"/>
  <c r="G39" i="45"/>
  <c r="G39" i="46"/>
  <c r="G46" i="47"/>
  <c r="C46" i="46"/>
  <c r="C46" i="45"/>
  <c r="G57" i="45"/>
  <c r="G57" i="46"/>
  <c r="C64" i="47"/>
  <c r="C64" i="48"/>
  <c r="C64" i="49"/>
  <c r="C64" i="46"/>
  <c r="C64" i="45"/>
  <c r="G65" i="48"/>
  <c r="G65" i="49"/>
  <c r="G65" i="47"/>
  <c r="C69" i="46"/>
  <c r="C69" i="45"/>
  <c r="G69" i="47"/>
  <c r="C72" i="46"/>
  <c r="C72" i="45"/>
  <c r="G72" i="48"/>
  <c r="G72" i="47"/>
  <c r="C76" i="47"/>
  <c r="C76" i="49"/>
  <c r="C76" i="48"/>
  <c r="C76" i="45"/>
  <c r="C76" i="46"/>
  <c r="G78" i="47"/>
  <c r="G78" i="49"/>
  <c r="G78" i="46"/>
  <c r="G78" i="45"/>
  <c r="C90" i="48"/>
  <c r="C90" i="49"/>
  <c r="C90" i="45"/>
  <c r="C90" i="47"/>
  <c r="C90" i="46"/>
  <c r="S376" i="44"/>
  <c r="T8" i="44"/>
  <c r="T198" i="44"/>
  <c r="T306" i="44"/>
  <c r="T494" i="44"/>
  <c r="S494" i="44"/>
  <c r="T194" i="44"/>
  <c r="T356" i="44"/>
  <c r="T376" i="44"/>
  <c r="T408" i="44"/>
  <c r="T290" i="44"/>
  <c r="S107" i="44"/>
  <c r="T33" i="44"/>
  <c r="T127" i="44"/>
  <c r="T216" i="44"/>
  <c r="T256" i="44"/>
  <c r="T283" i="44"/>
  <c r="T447" i="44"/>
  <c r="T155" i="44"/>
  <c r="S184" i="44"/>
  <c r="L41" i="49"/>
  <c r="V61" i="49"/>
  <c r="O56" i="45"/>
  <c r="S55" i="45" s="1"/>
  <c r="F54" i="48"/>
  <c r="N54" i="48"/>
  <c r="M68" i="45"/>
  <c r="O33" i="48"/>
  <c r="L40" i="49"/>
  <c r="M24" i="45"/>
  <c r="M29" i="47"/>
  <c r="J62" i="47"/>
  <c r="P62" i="47"/>
  <c r="L40" i="48"/>
  <c r="O60" i="46"/>
  <c r="O33" i="49"/>
  <c r="Q36" i="49"/>
  <c r="M27" i="45"/>
  <c r="O52" i="49"/>
  <c r="O29" i="48"/>
  <c r="S28" i="48"/>
  <c r="M36" i="48"/>
  <c r="L79" i="46"/>
  <c r="L24" i="49"/>
  <c r="M13" i="45"/>
  <c r="L7" i="48"/>
  <c r="O32" i="48"/>
  <c r="S31" i="48"/>
  <c r="O35" i="48"/>
  <c r="S34" i="48" s="1"/>
  <c r="Q52" i="48"/>
  <c r="Q51" i="48"/>
  <c r="Q54" i="48"/>
  <c r="V53" i="48" s="1"/>
  <c r="M86" i="48"/>
  <c r="O32" i="49"/>
  <c r="S31" i="49" s="1"/>
  <c r="O36" i="49"/>
  <c r="M50" i="49"/>
  <c r="Q54" i="49"/>
  <c r="V53" i="49"/>
  <c r="O35" i="45"/>
  <c r="S34" i="45"/>
  <c r="M77" i="45"/>
  <c r="O59" i="46"/>
  <c r="Q50" i="48"/>
  <c r="O41" i="47"/>
  <c r="O60" i="47"/>
  <c r="O59" i="48"/>
  <c r="Q49" i="49"/>
  <c r="O50" i="49"/>
  <c r="O52" i="45"/>
  <c r="M68" i="46"/>
  <c r="M41" i="47"/>
  <c r="O56" i="47"/>
  <c r="S55" i="47" s="1"/>
  <c r="Q57" i="47"/>
  <c r="Q37" i="48"/>
  <c r="F32" i="49"/>
  <c r="N32" i="49" s="1"/>
  <c r="F54" i="45"/>
  <c r="L54" i="45" s="1"/>
  <c r="N54" i="45"/>
  <c r="M81" i="45"/>
  <c r="O30" i="46"/>
  <c r="F56" i="46"/>
  <c r="N56" i="46"/>
  <c r="F39" i="47"/>
  <c r="L39" i="47" s="1"/>
  <c r="N39" i="47"/>
  <c r="V61" i="47"/>
  <c r="M13" i="48"/>
  <c r="L14" i="49"/>
  <c r="Q32" i="49"/>
  <c r="V31" i="49"/>
  <c r="Q48" i="49"/>
  <c r="V47" i="49" s="1"/>
  <c r="Q58" i="49"/>
  <c r="M69" i="45"/>
  <c r="S61" i="46"/>
  <c r="F56" i="47"/>
  <c r="L56" i="47" s="1"/>
  <c r="J58" i="47"/>
  <c r="P58" i="47"/>
  <c r="J35" i="48"/>
  <c r="P35" i="48"/>
  <c r="J35" i="49"/>
  <c r="P35" i="49"/>
  <c r="S27" i="44"/>
  <c r="T262" i="44"/>
  <c r="T114" i="44"/>
  <c r="S22" i="44"/>
  <c r="T244" i="44"/>
  <c r="S8" i="44"/>
  <c r="S238" i="44"/>
  <c r="S280" i="44"/>
  <c r="P4" i="46"/>
  <c r="M4" i="46"/>
  <c r="S188" i="44"/>
  <c r="S194" i="44"/>
  <c r="S350" i="44"/>
  <c r="S72" i="44"/>
  <c r="T204" i="44"/>
  <c r="T27" i="44"/>
  <c r="M21" i="45"/>
  <c r="S93" i="44"/>
  <c r="T149" i="44"/>
  <c r="T212" i="44"/>
  <c r="S274" i="44"/>
  <c r="T277" i="44"/>
  <c r="S298" i="44"/>
  <c r="S447" i="44"/>
  <c r="S477" i="44"/>
  <c r="L42" i="45"/>
  <c r="T170" i="44"/>
  <c r="T226" i="44"/>
  <c r="S315" i="44"/>
  <c r="M14" i="45"/>
  <c r="L50" i="47"/>
  <c r="T43" i="44"/>
  <c r="T72" i="44"/>
  <c r="T140" i="44"/>
  <c r="S170" i="44"/>
  <c r="S201" i="44"/>
  <c r="T233" i="44"/>
  <c r="T455" i="44"/>
  <c r="M45" i="45"/>
  <c r="F57" i="45"/>
  <c r="L57" i="45" s="1"/>
  <c r="F29" i="47"/>
  <c r="N29" i="47"/>
  <c r="O30" i="47"/>
  <c r="O29" i="47"/>
  <c r="S28" i="47" s="1"/>
  <c r="T133" i="44"/>
  <c r="L43" i="45"/>
  <c r="O60" i="45"/>
  <c r="O57" i="45"/>
  <c r="T164" i="44"/>
  <c r="T188" i="44"/>
  <c r="S286" i="44"/>
  <c r="T328" i="44"/>
  <c r="T332" i="44"/>
  <c r="S380" i="44"/>
  <c r="T432" i="44"/>
  <c r="M3" i="45"/>
  <c r="L41" i="45"/>
  <c r="L58" i="45"/>
  <c r="T380" i="44"/>
  <c r="L41" i="48"/>
  <c r="N41" i="48"/>
  <c r="O58" i="45"/>
  <c r="M51" i="47"/>
  <c r="O57" i="46"/>
  <c r="M24" i="47"/>
  <c r="Q58" i="47"/>
  <c r="L46" i="48"/>
  <c r="O51" i="48"/>
  <c r="L49" i="48"/>
  <c r="L59" i="48"/>
  <c r="O37" i="49"/>
  <c r="M43" i="49"/>
  <c r="O49" i="49"/>
  <c r="Q51" i="49"/>
  <c r="S61" i="49"/>
  <c r="M80" i="49"/>
  <c r="M4" i="45"/>
  <c r="L60" i="45"/>
  <c r="M21" i="46"/>
  <c r="J54" i="47"/>
  <c r="P54" i="47"/>
  <c r="M24" i="48"/>
  <c r="Q33" i="48"/>
  <c r="Q35" i="48"/>
  <c r="V34" i="48"/>
  <c r="Q43" i="48"/>
  <c r="O29" i="49"/>
  <c r="S28" i="49"/>
  <c r="L33" i="49"/>
  <c r="Q33" i="49"/>
  <c r="Q37" i="49"/>
  <c r="L45" i="49"/>
  <c r="L46" i="49"/>
  <c r="M3" i="49"/>
  <c r="M13" i="49"/>
  <c r="L52" i="49"/>
  <c r="O54" i="49"/>
  <c r="S53" i="49"/>
  <c r="L41" i="46"/>
  <c r="O56" i="46"/>
  <c r="S55" i="46"/>
  <c r="M42" i="47"/>
  <c r="O49" i="47"/>
  <c r="O36" i="48"/>
  <c r="O37" i="48"/>
  <c r="M59" i="48"/>
  <c r="L71" i="48"/>
  <c r="M73" i="48"/>
  <c r="M30" i="49"/>
  <c r="O35" i="49"/>
  <c r="S34" i="49"/>
  <c r="Q50" i="49"/>
  <c r="M71" i="45"/>
  <c r="M8" i="46"/>
  <c r="M51" i="48"/>
  <c r="M79" i="48"/>
  <c r="Q35" i="49"/>
  <c r="V34" i="49"/>
  <c r="M41" i="49"/>
  <c r="M59" i="49"/>
  <c r="L87" i="49"/>
  <c r="L57" i="46"/>
  <c r="O58" i="46"/>
  <c r="M86" i="46"/>
  <c r="L30" i="47"/>
  <c r="O35" i="47"/>
  <c r="S34" i="47" s="1"/>
  <c r="O57" i="47"/>
  <c r="Q36" i="48"/>
  <c r="Q56" i="48"/>
  <c r="V55" i="48" s="1"/>
  <c r="J32" i="49"/>
  <c r="M32" i="49" s="1"/>
  <c r="P32" i="49"/>
  <c r="O57" i="49"/>
  <c r="L37" i="45"/>
  <c r="L7" i="46"/>
  <c r="Q29" i="47"/>
  <c r="V28" i="47" s="1"/>
  <c r="O39" i="47"/>
  <c r="S38" i="47"/>
  <c r="F48" i="47"/>
  <c r="N48" i="47"/>
  <c r="V53" i="47"/>
  <c r="M79" i="47"/>
  <c r="L87" i="47"/>
  <c r="M33" i="48"/>
  <c r="J48" i="48"/>
  <c r="P48" i="48"/>
  <c r="O49" i="48"/>
  <c r="O50" i="48"/>
  <c r="O3" i="49"/>
  <c r="S2" i="49" s="1"/>
  <c r="L4" i="49"/>
  <c r="F35" i="49"/>
  <c r="N35" i="49"/>
  <c r="J48" i="49"/>
  <c r="P48" i="49"/>
  <c r="J49" i="49"/>
  <c r="P49" i="49" s="1"/>
  <c r="L40" i="47"/>
  <c r="L42" i="47"/>
  <c r="N27" i="49"/>
  <c r="M54" i="49"/>
  <c r="M67" i="49"/>
  <c r="Q3" i="45"/>
  <c r="N51" i="45"/>
  <c r="P70" i="45"/>
  <c r="S33" i="44"/>
  <c r="T93" i="44"/>
  <c r="T107" i="44"/>
  <c r="S114" i="44"/>
  <c r="S127" i="44"/>
  <c r="S155" i="44"/>
  <c r="S198" i="44"/>
  <c r="S204" i="44"/>
  <c r="S256" i="44"/>
  <c r="S432" i="44"/>
  <c r="M65" i="45"/>
  <c r="N36" i="45"/>
  <c r="L36" i="45"/>
  <c r="N49" i="45"/>
  <c r="L49" i="45"/>
  <c r="S5" i="44"/>
  <c r="T10" i="44"/>
  <c r="T22" i="44"/>
  <c r="S43" i="44"/>
  <c r="T55" i="44"/>
  <c r="S83" i="44"/>
  <c r="S209" i="44"/>
  <c r="T238" i="44"/>
  <c r="T274" i="44"/>
  <c r="T280" i="44"/>
  <c r="T286" i="44"/>
  <c r="T350" i="44"/>
  <c r="S385" i="44"/>
  <c r="S416" i="44"/>
  <c r="T477" i="44"/>
  <c r="S490" i="44"/>
  <c r="P66" i="45"/>
  <c r="M66" i="45"/>
  <c r="T5" i="44"/>
  <c r="T83" i="44"/>
  <c r="S85" i="44"/>
  <c r="S341" i="44"/>
  <c r="T385" i="44"/>
  <c r="T416" i="44"/>
  <c r="S455" i="44"/>
  <c r="T490" i="44"/>
  <c r="Q4" i="45"/>
  <c r="J10" i="45"/>
  <c r="M10" i="45" s="1"/>
  <c r="N36" i="46"/>
  <c r="L36" i="46"/>
  <c r="T119" i="44"/>
  <c r="T85" i="44"/>
  <c r="S99" i="44"/>
  <c r="S180" i="44"/>
  <c r="S253" i="44"/>
  <c r="S271" i="44"/>
  <c r="T341" i="44"/>
  <c r="S365" i="44"/>
  <c r="S485" i="44"/>
  <c r="L50" i="45"/>
  <c r="N50" i="45"/>
  <c r="T209" i="44"/>
  <c r="T99" i="44"/>
  <c r="S140" i="44"/>
  <c r="T180" i="44"/>
  <c r="T184" i="44"/>
  <c r="T201" i="44"/>
  <c r="S216" i="44"/>
  <c r="T253" i="44"/>
  <c r="S262" i="44"/>
  <c r="T271" i="44"/>
  <c r="S277" i="44"/>
  <c r="S283" i="44"/>
  <c r="T298" i="44"/>
  <c r="T315" i="44"/>
  <c r="S332" i="44"/>
  <c r="T365" i="44"/>
  <c r="S393" i="44"/>
  <c r="S424" i="44"/>
  <c r="T485" i="44"/>
  <c r="S487" i="44"/>
  <c r="M24" i="46"/>
  <c r="S212" i="44"/>
  <c r="S226" i="44"/>
  <c r="S233" i="44"/>
  <c r="S244" i="44"/>
  <c r="S328" i="44"/>
  <c r="S356" i="44"/>
  <c r="T393" i="44"/>
  <c r="S408" i="44"/>
  <c r="T424" i="44"/>
  <c r="T487" i="44"/>
  <c r="O51" i="45"/>
  <c r="L79" i="45"/>
  <c r="P81" i="45"/>
  <c r="L51" i="46"/>
  <c r="M69" i="46"/>
  <c r="O59" i="45"/>
  <c r="P8" i="46"/>
  <c r="F30" i="46"/>
  <c r="L30" i="46" s="1"/>
  <c r="L50" i="46"/>
  <c r="N50" i="46"/>
  <c r="O37" i="45"/>
  <c r="O50" i="45"/>
  <c r="O35" i="46"/>
  <c r="S34" i="46" s="1"/>
  <c r="F35" i="46"/>
  <c r="L35" i="46" s="1"/>
  <c r="N35" i="46"/>
  <c r="O36" i="46"/>
  <c r="O37" i="46"/>
  <c r="L42" i="46"/>
  <c r="M65" i="46"/>
  <c r="O36" i="45"/>
  <c r="O49" i="45"/>
  <c r="L56" i="45"/>
  <c r="F62" i="45"/>
  <c r="N62" i="45"/>
  <c r="O29" i="46"/>
  <c r="S28" i="46" s="1"/>
  <c r="L37" i="46"/>
  <c r="F35" i="45"/>
  <c r="L35" i="45" s="1"/>
  <c r="F48" i="45"/>
  <c r="O48" i="45"/>
  <c r="S47" i="45"/>
  <c r="O52" i="46"/>
  <c r="F39" i="45"/>
  <c r="N39" i="45" s="1"/>
  <c r="L49" i="46"/>
  <c r="M66" i="46"/>
  <c r="O51" i="46"/>
  <c r="M8" i="47"/>
  <c r="L46" i="47"/>
  <c r="O50" i="46"/>
  <c r="F54" i="46"/>
  <c r="L54" i="46" s="1"/>
  <c r="F6" i="47"/>
  <c r="O49" i="46"/>
  <c r="F62" i="46"/>
  <c r="M14" i="47"/>
  <c r="L37" i="47"/>
  <c r="F48" i="46"/>
  <c r="O48" i="46"/>
  <c r="S47" i="46"/>
  <c r="F39" i="46"/>
  <c r="N39" i="46" s="1"/>
  <c r="N52" i="47"/>
  <c r="L52" i="47"/>
  <c r="Q30" i="47"/>
  <c r="P7" i="47"/>
  <c r="P29" i="47"/>
  <c r="O37" i="47"/>
  <c r="O43" i="47"/>
  <c r="J39" i="47"/>
  <c r="P39" i="47"/>
  <c r="F41" i="47"/>
  <c r="N41" i="47" s="1"/>
  <c r="O48" i="47"/>
  <c r="S47" i="47" s="1"/>
  <c r="O52" i="47"/>
  <c r="M68" i="47"/>
  <c r="P68" i="47"/>
  <c r="O36" i="47"/>
  <c r="O44" i="47"/>
  <c r="O45" i="47"/>
  <c r="L44" i="47"/>
  <c r="O51" i="47"/>
  <c r="L59" i="47"/>
  <c r="S61" i="47"/>
  <c r="O40" i="47"/>
  <c r="F35" i="47"/>
  <c r="L35" i="47" s="1"/>
  <c r="O42" i="47"/>
  <c r="M43" i="47"/>
  <c r="P59" i="47"/>
  <c r="M59" i="47"/>
  <c r="O46" i="47"/>
  <c r="O54" i="47"/>
  <c r="S53" i="47"/>
  <c r="F54" i="47"/>
  <c r="N54" i="47" s="1"/>
  <c r="Q30" i="48"/>
  <c r="J29" i="48"/>
  <c r="M29" i="48" s="1"/>
  <c r="P29" i="48"/>
  <c r="Q29" i="48"/>
  <c r="V28" i="48" s="1"/>
  <c r="N43" i="48"/>
  <c r="L43" i="48"/>
  <c r="L52" i="48"/>
  <c r="L57" i="48"/>
  <c r="L49" i="47"/>
  <c r="Q56" i="47"/>
  <c r="V55" i="47" s="1"/>
  <c r="O59" i="47"/>
  <c r="Q60" i="47"/>
  <c r="M7" i="48"/>
  <c r="O50" i="47"/>
  <c r="L37" i="48"/>
  <c r="P49" i="48"/>
  <c r="M49" i="48"/>
  <c r="J56" i="47"/>
  <c r="P56" i="47"/>
  <c r="O58" i="47"/>
  <c r="Q59" i="47"/>
  <c r="M32" i="48"/>
  <c r="M45" i="48"/>
  <c r="M50" i="48"/>
  <c r="M57" i="48"/>
  <c r="F62" i="47"/>
  <c r="L62" i="47" s="1"/>
  <c r="N30" i="48"/>
  <c r="L30" i="48"/>
  <c r="O46" i="48"/>
  <c r="F57" i="47"/>
  <c r="F3" i="48"/>
  <c r="F6" i="48"/>
  <c r="N6" i="48" s="1"/>
  <c r="L32" i="48"/>
  <c r="P40" i="48"/>
  <c r="M40" i="48"/>
  <c r="M42" i="48"/>
  <c r="Q8" i="48"/>
  <c r="J6" i="48"/>
  <c r="P6" i="48"/>
  <c r="Q6" i="48"/>
  <c r="V5" i="48" s="1"/>
  <c r="Q7" i="48"/>
  <c r="P8" i="48"/>
  <c r="M8" i="48"/>
  <c r="L33" i="48"/>
  <c r="M41" i="48"/>
  <c r="Q7" i="49"/>
  <c r="Q8" i="49"/>
  <c r="J6" i="49"/>
  <c r="P6" i="49" s="1"/>
  <c r="Q6" i="49"/>
  <c r="V5" i="49"/>
  <c r="P7" i="49"/>
  <c r="M7" i="49"/>
  <c r="J39" i="48"/>
  <c r="P39" i="48" s="1"/>
  <c r="O41" i="48"/>
  <c r="Q42" i="48"/>
  <c r="O45" i="48"/>
  <c r="Q46" i="48"/>
  <c r="O58" i="48"/>
  <c r="Q59" i="48"/>
  <c r="M52" i="48"/>
  <c r="M60" i="48"/>
  <c r="V61" i="48"/>
  <c r="O27" i="49"/>
  <c r="O26" i="49"/>
  <c r="S25" i="49"/>
  <c r="F26" i="49"/>
  <c r="M30" i="48"/>
  <c r="O40" i="48"/>
  <c r="Q41" i="48"/>
  <c r="M43" i="48"/>
  <c r="O44" i="48"/>
  <c r="Q45" i="48"/>
  <c r="M56" i="48"/>
  <c r="O57" i="48"/>
  <c r="Q58" i="48"/>
  <c r="L60" i="48"/>
  <c r="J62" i="48"/>
  <c r="P62" i="48" s="1"/>
  <c r="M66" i="48"/>
  <c r="Q32" i="48"/>
  <c r="V31" i="48" s="1"/>
  <c r="F35" i="48"/>
  <c r="N35" i="48"/>
  <c r="F48" i="48"/>
  <c r="L48" i="48" s="1"/>
  <c r="O48" i="48"/>
  <c r="S47" i="48" s="1"/>
  <c r="Q49" i="48"/>
  <c r="O52" i="48"/>
  <c r="O60" i="48"/>
  <c r="L87" i="48"/>
  <c r="O30" i="48"/>
  <c r="F39" i="48"/>
  <c r="N39" i="48" s="1"/>
  <c r="O39" i="48"/>
  <c r="S38" i="48" s="1"/>
  <c r="Q40" i="48"/>
  <c r="O43" i="48"/>
  <c r="Q44" i="48"/>
  <c r="F56" i="48"/>
  <c r="L56" i="48" s="1"/>
  <c r="O56" i="48"/>
  <c r="S55" i="48" s="1"/>
  <c r="Q57" i="48"/>
  <c r="M81" i="48"/>
  <c r="P8" i="49"/>
  <c r="M8" i="49"/>
  <c r="Q48" i="48"/>
  <c r="V47" i="48"/>
  <c r="Q60" i="48"/>
  <c r="M80" i="48"/>
  <c r="L42" i="49"/>
  <c r="N42" i="49"/>
  <c r="F29" i="48"/>
  <c r="N29" i="48"/>
  <c r="Q39" i="48"/>
  <c r="V38" i="48" s="1"/>
  <c r="O42" i="48"/>
  <c r="L37" i="49"/>
  <c r="M45" i="49"/>
  <c r="L59" i="49"/>
  <c r="N71" i="49"/>
  <c r="L71" i="49"/>
  <c r="O4" i="49"/>
  <c r="L7" i="49"/>
  <c r="O23" i="49"/>
  <c r="S22" i="49"/>
  <c r="F23" i="49"/>
  <c r="N23" i="49" s="1"/>
  <c r="O24" i="49"/>
  <c r="J26" i="49"/>
  <c r="P26" i="49"/>
  <c r="Q26" i="49"/>
  <c r="V25" i="49" s="1"/>
  <c r="Q27" i="49"/>
  <c r="M51" i="49"/>
  <c r="L73" i="49"/>
  <c r="F3" i="49"/>
  <c r="J10" i="49"/>
  <c r="P27" i="49"/>
  <c r="M27" i="49"/>
  <c r="O44" i="49"/>
  <c r="M42" i="49"/>
  <c r="L44" i="49"/>
  <c r="L57" i="49"/>
  <c r="P40" i="49"/>
  <c r="M40" i="49"/>
  <c r="M52" i="49"/>
  <c r="P52" i="49"/>
  <c r="M73" i="49"/>
  <c r="F62" i="48"/>
  <c r="L62" i="48" s="1"/>
  <c r="F6" i="49"/>
  <c r="J29" i="49"/>
  <c r="P29" i="49"/>
  <c r="Q29" i="49"/>
  <c r="V28" i="49" s="1"/>
  <c r="Q30" i="49"/>
  <c r="Q45" i="49"/>
  <c r="N41" i="49"/>
  <c r="N43" i="49"/>
  <c r="L43" i="49"/>
  <c r="L50" i="49"/>
  <c r="M57" i="49"/>
  <c r="O30" i="49"/>
  <c r="F39" i="49"/>
  <c r="L39" i="49" s="1"/>
  <c r="O39" i="49"/>
  <c r="S38" i="49" s="1"/>
  <c r="Q40" i="49"/>
  <c r="O43" i="49"/>
  <c r="Q44" i="49"/>
  <c r="L54" i="49"/>
  <c r="F56" i="49"/>
  <c r="O56" i="49"/>
  <c r="S55" i="49"/>
  <c r="Q57" i="49"/>
  <c r="O60" i="49"/>
  <c r="M33" i="49"/>
  <c r="O51" i="49"/>
  <c r="Q52" i="49"/>
  <c r="J62" i="49"/>
  <c r="L79" i="49"/>
  <c r="F29" i="49"/>
  <c r="N29" i="49" s="1"/>
  <c r="Q39" i="49"/>
  <c r="V38" i="49" s="1"/>
  <c r="O42" i="49"/>
  <c r="Q43" i="49"/>
  <c r="O46" i="49"/>
  <c r="Q56" i="49"/>
  <c r="V55" i="49"/>
  <c r="O59" i="49"/>
  <c r="Q60" i="49"/>
  <c r="J39" i="49"/>
  <c r="P39" i="49" s="1"/>
  <c r="O41" i="49"/>
  <c r="Q42" i="49"/>
  <c r="O45" i="49"/>
  <c r="Q46" i="49"/>
  <c r="J56" i="49"/>
  <c r="M56" i="49" s="1"/>
  <c r="O58" i="49"/>
  <c r="Q59" i="49"/>
  <c r="F49" i="49"/>
  <c r="N49" i="49" s="1"/>
  <c r="F62" i="49"/>
  <c r="M79" i="49"/>
  <c r="O40" i="49"/>
  <c r="Q41" i="49"/>
  <c r="F48" i="49"/>
  <c r="N48" i="49" s="1"/>
  <c r="O48" i="49"/>
  <c r="S47" i="49" s="1"/>
  <c r="U107" i="44"/>
  <c r="E318" i="44"/>
  <c r="E167" i="44"/>
  <c r="E78" i="44"/>
  <c r="E183" i="44"/>
  <c r="U43" i="44"/>
  <c r="E222" i="44"/>
  <c r="E36" i="44"/>
  <c r="E237" i="44"/>
  <c r="E436" i="44"/>
  <c r="E14" i="44"/>
  <c r="E415" i="44"/>
  <c r="E344" i="44"/>
  <c r="E369" i="44"/>
  <c r="E490" i="44"/>
  <c r="E200" i="44"/>
  <c r="E88" i="44"/>
  <c r="E386" i="44"/>
  <c r="E58" i="44"/>
  <c r="U432" i="44"/>
  <c r="U328" i="44"/>
  <c r="U256" i="44"/>
  <c r="U277" i="44"/>
  <c r="U477" i="44"/>
  <c r="E123" i="44"/>
  <c r="U262" i="44"/>
  <c r="W262" i="44"/>
  <c r="U194" i="44"/>
  <c r="M35" i="48"/>
  <c r="U114" i="44"/>
  <c r="U155" i="44"/>
  <c r="U315" i="44"/>
  <c r="U22" i="44"/>
  <c r="U226" i="44"/>
  <c r="U350" i="44"/>
  <c r="U376" i="44"/>
  <c r="U212" i="44"/>
  <c r="U216" i="44"/>
  <c r="U286" i="44"/>
  <c r="W286" i="44"/>
  <c r="U408" i="44"/>
  <c r="U27" i="44"/>
  <c r="U356" i="44"/>
  <c r="U140" i="44"/>
  <c r="U198" i="44"/>
  <c r="U244" i="44"/>
  <c r="U127" i="44"/>
  <c r="U233" i="44"/>
  <c r="U170" i="44"/>
  <c r="U8" i="44"/>
  <c r="U332" i="44"/>
  <c r="U455" i="44"/>
  <c r="U188" i="44"/>
  <c r="L35" i="49"/>
  <c r="U298" i="44"/>
  <c r="U184" i="44"/>
  <c r="U274" i="44"/>
  <c r="U33" i="44"/>
  <c r="U280" i="44"/>
  <c r="U283" i="44"/>
  <c r="U238" i="44"/>
  <c r="U204" i="44"/>
  <c r="U447" i="44"/>
  <c r="L32" i="49"/>
  <c r="M48" i="48"/>
  <c r="L54" i="48"/>
  <c r="M58" i="47"/>
  <c r="L48" i="47"/>
  <c r="M54" i="47"/>
  <c r="L56" i="46"/>
  <c r="U93" i="44"/>
  <c r="U201" i="44"/>
  <c r="U380" i="44"/>
  <c r="U494" i="44"/>
  <c r="M26" i="49"/>
  <c r="M62" i="47"/>
  <c r="L29" i="47"/>
  <c r="M29" i="49"/>
  <c r="M35" i="49"/>
  <c r="M6" i="49"/>
  <c r="U72" i="44"/>
  <c r="L39" i="46"/>
  <c r="M48" i="49"/>
  <c r="L6" i="48"/>
  <c r="M56" i="47"/>
  <c r="U424" i="44"/>
  <c r="U253" i="44"/>
  <c r="U385" i="44"/>
  <c r="U99" i="44"/>
  <c r="U416" i="44"/>
  <c r="N57" i="47"/>
  <c r="L57" i="47"/>
  <c r="L48" i="46"/>
  <c r="N48" i="46"/>
  <c r="N56" i="49"/>
  <c r="L56" i="49"/>
  <c r="M10" i="49"/>
  <c r="P10" i="49"/>
  <c r="M39" i="47"/>
  <c r="L62" i="45"/>
  <c r="P10" i="45"/>
  <c r="U490" i="44"/>
  <c r="N6" i="49"/>
  <c r="L6" i="49"/>
  <c r="N62" i="46"/>
  <c r="L62" i="46"/>
  <c r="N3" i="48"/>
  <c r="L3" i="48"/>
  <c r="P62" i="49"/>
  <c r="M62" i="49"/>
  <c r="N3" i="49"/>
  <c r="L3" i="49"/>
  <c r="M6" i="48"/>
  <c r="N48" i="45"/>
  <c r="L48" i="45"/>
  <c r="U487" i="44"/>
  <c r="U365" i="44"/>
  <c r="L35" i="48"/>
  <c r="L39" i="48"/>
  <c r="N26" i="49"/>
  <c r="L26" i="49"/>
  <c r="N6" i="47"/>
  <c r="L6" i="47"/>
  <c r="U341" i="44"/>
  <c r="N62" i="49"/>
  <c r="L62" i="49"/>
  <c r="U271" i="44"/>
  <c r="U209" i="44"/>
  <c r="M39" i="49"/>
  <c r="N56" i="48"/>
  <c r="L29" i="48"/>
  <c r="N54" i="46"/>
  <c r="U393" i="44"/>
  <c r="U485" i="44"/>
  <c r="U180" i="44"/>
  <c r="U85" i="44"/>
  <c r="U83" i="44"/>
  <c r="U5" i="44"/>
  <c r="V2" i="45"/>
  <c r="W107" i="44"/>
  <c r="W5" i="44"/>
  <c r="E201" i="44"/>
  <c r="E15" i="44"/>
  <c r="E184" i="44"/>
  <c r="E491" i="44"/>
  <c r="E437" i="44"/>
  <c r="E79" i="44"/>
  <c r="E59" i="44"/>
  <c r="E370" i="44"/>
  <c r="E238" i="44"/>
  <c r="E168" i="44"/>
  <c r="E387" i="44"/>
  <c r="E345" i="44"/>
  <c r="E37" i="44"/>
  <c r="W455" i="44"/>
  <c r="E319" i="44"/>
  <c r="E89" i="44"/>
  <c r="E416" i="44"/>
  <c r="E223" i="44"/>
  <c r="W233" i="44"/>
  <c r="E124" i="44"/>
  <c r="W180" i="44"/>
  <c r="W271" i="44"/>
  <c r="W85" i="44"/>
  <c r="W194" i="44"/>
  <c r="W380" i="44"/>
  <c r="W487" i="44"/>
  <c r="E371" i="44"/>
  <c r="E185" i="44"/>
  <c r="E16" i="44"/>
  <c r="E346" i="44"/>
  <c r="E60" i="44"/>
  <c r="E202" i="44"/>
  <c r="E388" i="44"/>
  <c r="E80" i="44"/>
  <c r="E438" i="44"/>
  <c r="E224" i="44"/>
  <c r="E492" i="44"/>
  <c r="E169" i="44"/>
  <c r="E320" i="44"/>
  <c r="E90" i="44"/>
  <c r="E239" i="44"/>
  <c r="E417" i="44"/>
  <c r="E38" i="44"/>
  <c r="E125" i="44"/>
  <c r="E493" i="44"/>
  <c r="E372" i="44"/>
  <c r="E39" i="44"/>
  <c r="E347" i="44"/>
  <c r="E321" i="44"/>
  <c r="E389" i="44"/>
  <c r="E439" i="44"/>
  <c r="E17" i="44"/>
  <c r="E91" i="44"/>
  <c r="E81" i="44"/>
  <c r="E186" i="44"/>
  <c r="E418" i="44"/>
  <c r="E203" i="44"/>
  <c r="E240" i="44"/>
  <c r="E225" i="44"/>
  <c r="E61" i="44"/>
  <c r="E170" i="44"/>
  <c r="E126" i="44"/>
  <c r="E40" i="44"/>
  <c r="E494" i="44"/>
  <c r="E226" i="44"/>
  <c r="E92" i="44"/>
  <c r="E440" i="44"/>
  <c r="E373" i="44"/>
  <c r="E419" i="44"/>
  <c r="E187" i="44"/>
  <c r="E390" i="44"/>
  <c r="E348" i="44"/>
  <c r="E62" i="44"/>
  <c r="E204" i="44"/>
  <c r="E82" i="44"/>
  <c r="E322" i="44"/>
  <c r="E171" i="44"/>
  <c r="E241" i="44"/>
  <c r="E18" i="44"/>
  <c r="E127" i="44"/>
  <c r="E188" i="44"/>
  <c r="E227" i="44"/>
  <c r="E242" i="44"/>
  <c r="E323" i="44"/>
  <c r="E205" i="44"/>
  <c r="E420" i="44"/>
  <c r="E93" i="44"/>
  <c r="E441" i="44"/>
  <c r="E349" i="44"/>
  <c r="E495" i="44"/>
  <c r="E63" i="44"/>
  <c r="E172" i="44"/>
  <c r="E83" i="44"/>
  <c r="E391" i="44"/>
  <c r="E374" i="44"/>
  <c r="E41" i="44"/>
  <c r="E19" i="44"/>
  <c r="E128" i="44"/>
  <c r="E375" i="44"/>
  <c r="E442" i="44"/>
  <c r="E42" i="44"/>
  <c r="E392" i="44"/>
  <c r="E94" i="44"/>
  <c r="E228" i="44"/>
  <c r="E189" i="44"/>
  <c r="E350" i="44"/>
  <c r="E421" i="44"/>
  <c r="E324" i="44"/>
  <c r="E84" i="44"/>
  <c r="E64" i="44"/>
  <c r="E20" i="44"/>
  <c r="E173" i="44"/>
  <c r="E206" i="44"/>
  <c r="E243" i="44"/>
  <c r="E129" i="44"/>
  <c r="E229" i="44"/>
  <c r="E443" i="44"/>
  <c r="E174" i="44"/>
  <c r="E376" i="44"/>
  <c r="E95" i="44"/>
  <c r="E65" i="44"/>
  <c r="E325" i="44"/>
  <c r="E351" i="44"/>
  <c r="E393" i="44"/>
  <c r="E21" i="44"/>
  <c r="E244" i="44"/>
  <c r="E207" i="44"/>
  <c r="E422" i="44"/>
  <c r="E190" i="44"/>
  <c r="E43" i="44"/>
  <c r="E130" i="44"/>
  <c r="E394" i="44"/>
  <c r="E352" i="44"/>
  <c r="E66" i="44"/>
  <c r="E96" i="44"/>
  <c r="E377" i="44"/>
  <c r="E175" i="44"/>
  <c r="E423" i="44"/>
  <c r="E191" i="44"/>
  <c r="E208" i="44"/>
  <c r="E230" i="44"/>
  <c r="E245" i="44"/>
  <c r="E44" i="44"/>
  <c r="E22" i="44"/>
  <c r="E326" i="44"/>
  <c r="E444" i="44"/>
  <c r="E131" i="44"/>
  <c r="E192" i="44"/>
  <c r="E97" i="44"/>
  <c r="E445" i="44"/>
  <c r="E67" i="44"/>
  <c r="E45" i="44"/>
  <c r="E353" i="44"/>
  <c r="E23" i="44"/>
  <c r="E231" i="44"/>
  <c r="E176" i="44"/>
  <c r="E395" i="44"/>
  <c r="E246" i="44"/>
  <c r="E424" i="44"/>
  <c r="E209" i="44"/>
  <c r="E378" i="44"/>
  <c r="E327" i="44"/>
  <c r="E132" i="44"/>
  <c r="E210" i="44"/>
  <c r="E24" i="44"/>
  <c r="E354" i="44"/>
  <c r="E425" i="44"/>
  <c r="E193" i="44"/>
  <c r="E328" i="44"/>
  <c r="E46" i="44"/>
  <c r="E247" i="44"/>
  <c r="E396" i="44"/>
  <c r="E232" i="44"/>
  <c r="E68" i="44"/>
  <c r="E177" i="44"/>
  <c r="E446" i="44"/>
  <c r="E379" i="44"/>
  <c r="E98" i="44"/>
  <c r="E178" i="44"/>
  <c r="E25" i="44"/>
  <c r="E99" i="44"/>
  <c r="E211" i="44"/>
  <c r="E248" i="44"/>
  <c r="E397" i="44"/>
  <c r="E69" i="44"/>
  <c r="E329" i="44"/>
  <c r="E447" i="44"/>
  <c r="E47" i="44"/>
  <c r="E426" i="44"/>
  <c r="E355" i="44"/>
  <c r="E427" i="44"/>
  <c r="E330" i="44"/>
  <c r="E249" i="44"/>
  <c r="E48" i="44"/>
  <c r="E70" i="44"/>
  <c r="E100" i="44"/>
  <c r="E398" i="44"/>
  <c r="E179" i="44"/>
  <c r="E212" i="44"/>
  <c r="E448" i="44"/>
  <c r="E356" i="44"/>
  <c r="E26" i="44"/>
  <c r="E27" i="44"/>
  <c r="E101" i="44"/>
  <c r="E71" i="44"/>
  <c r="E357" i="44"/>
  <c r="E399" i="44"/>
  <c r="E213" i="44"/>
  <c r="E49" i="44"/>
  <c r="E250" i="44"/>
  <c r="E428" i="44"/>
  <c r="E331" i="44"/>
  <c r="E449" i="44"/>
  <c r="E429" i="44"/>
  <c r="E450" i="44"/>
  <c r="E251" i="44"/>
  <c r="E50" i="44"/>
  <c r="E28" i="44"/>
  <c r="E400" i="44"/>
  <c r="E332" i="44"/>
  <c r="E214" i="44"/>
  <c r="E358" i="44"/>
  <c r="E102" i="44"/>
  <c r="E401" i="44"/>
  <c r="E451" i="44"/>
  <c r="E51" i="44"/>
  <c r="E29" i="44"/>
  <c r="E252" i="44"/>
  <c r="E359" i="44"/>
  <c r="E333" i="44"/>
  <c r="E103" i="44"/>
  <c r="E430" i="44"/>
  <c r="E215" i="44"/>
  <c r="E431" i="44"/>
  <c r="E452" i="44"/>
  <c r="E30" i="44"/>
  <c r="E52" i="44"/>
  <c r="E104" i="44"/>
  <c r="E334" i="44"/>
  <c r="E360" i="44"/>
  <c r="E402" i="44"/>
  <c r="E361" i="44"/>
  <c r="E453" i="44"/>
  <c r="E403" i="44"/>
  <c r="E105" i="44"/>
  <c r="E31" i="44"/>
  <c r="E335" i="44"/>
  <c r="E53" i="44"/>
  <c r="E32" i="44"/>
  <c r="E404" i="44"/>
  <c r="E362" i="44"/>
  <c r="E54" i="44"/>
  <c r="E454" i="44"/>
  <c r="E106" i="44"/>
  <c r="E336" i="44"/>
  <c r="E363" i="44"/>
  <c r="E337" i="44"/>
  <c r="E405" i="44"/>
  <c r="E406" i="44"/>
  <c r="E364" i="44"/>
  <c r="E338" i="44"/>
  <c r="E407" i="44"/>
  <c r="E339" i="44"/>
  <c r="E340" i="44"/>
  <c r="M46" i="49" l="1"/>
  <c r="M81" i="49"/>
  <c r="N39" i="49"/>
  <c r="P56" i="49"/>
  <c r="N62" i="48"/>
  <c r="N79" i="48"/>
  <c r="N48" i="48"/>
  <c r="N62" i="47"/>
  <c r="N35" i="47"/>
  <c r="L13" i="49"/>
  <c r="N45" i="48"/>
  <c r="L43" i="47"/>
  <c r="M40" i="47"/>
  <c r="N57" i="45"/>
  <c r="N56" i="47"/>
  <c r="P30" i="45"/>
  <c r="N59" i="45"/>
  <c r="P67" i="45"/>
  <c r="N40" i="46"/>
  <c r="N44" i="46"/>
  <c r="N45" i="47"/>
  <c r="P57" i="47"/>
  <c r="P60" i="47"/>
  <c r="N42" i="48"/>
  <c r="P70" i="48"/>
  <c r="N21" i="49"/>
  <c r="N30" i="49"/>
  <c r="P44" i="49"/>
  <c r="L21" i="48"/>
  <c r="L52" i="45"/>
  <c r="L39" i="45"/>
  <c r="L23" i="49"/>
  <c r="N35" i="45"/>
  <c r="M37" i="48"/>
  <c r="M71" i="46"/>
  <c r="N58" i="48"/>
  <c r="L51" i="49"/>
  <c r="M72" i="49"/>
  <c r="L50" i="48"/>
  <c r="M13" i="47"/>
  <c r="L14" i="48"/>
  <c r="P33" i="45"/>
  <c r="N7" i="47"/>
  <c r="P36" i="49"/>
  <c r="P86" i="49"/>
  <c r="L49" i="49"/>
  <c r="L48" i="49"/>
  <c r="L79" i="47"/>
  <c r="L36" i="47"/>
  <c r="M30" i="47"/>
  <c r="M37" i="49"/>
  <c r="L44" i="48"/>
  <c r="M46" i="48"/>
  <c r="L51" i="48"/>
  <c r="L58" i="47"/>
  <c r="M86" i="47"/>
  <c r="L58" i="49"/>
  <c r="L60" i="49"/>
  <c r="L58" i="46"/>
  <c r="M86" i="45"/>
  <c r="L52" i="46"/>
  <c r="M39" i="48"/>
  <c r="M49" i="49"/>
  <c r="M21" i="49"/>
  <c r="L54" i="47"/>
  <c r="L29" i="49"/>
  <c r="L41" i="47"/>
  <c r="N30" i="46"/>
  <c r="M44" i="48"/>
  <c r="L87" i="46"/>
  <c r="M62" i="48"/>
  <c r="L59" i="46"/>
  <c r="M77" i="47"/>
  <c r="O3" i="98"/>
  <c r="O3" i="97"/>
  <c r="O3" i="96"/>
  <c r="O3" i="95"/>
  <c r="M447" i="44"/>
  <c r="M407" i="44"/>
  <c r="M168" i="44"/>
  <c r="D53" i="98" a="1"/>
  <c r="D47" i="96" a="1"/>
  <c r="C24" i="95" a="1"/>
  <c r="M455" i="44"/>
  <c r="M310" i="44"/>
  <c r="M154" i="44"/>
  <c r="M211" i="44"/>
  <c r="M358" i="44"/>
  <c r="M126" i="44"/>
  <c r="D31" i="95" a="1"/>
  <c r="B13" i="80" a="1"/>
  <c r="M99" i="44"/>
  <c r="D2" i="98" a="1"/>
  <c r="C45" i="50" a="1"/>
  <c r="M42" i="44"/>
  <c r="M196" i="44"/>
  <c r="D27" i="50" a="1"/>
  <c r="M342" i="44"/>
  <c r="M402" i="44"/>
  <c r="D3" i="98" a="1"/>
  <c r="M327" i="44"/>
  <c r="C27" i="97" a="1"/>
  <c r="D18" i="96" a="1"/>
  <c r="C22" i="50" a="1"/>
  <c r="M64" i="44"/>
  <c r="M167" i="44"/>
  <c r="M318" i="44"/>
  <c r="M156" i="44"/>
  <c r="M312" i="44"/>
  <c r="M279" i="44"/>
  <c r="M374" i="44"/>
  <c r="C22" i="95" a="1"/>
  <c r="M365" i="44"/>
  <c r="M438" i="44"/>
  <c r="M233" i="44"/>
  <c r="D23" i="50" a="1"/>
  <c r="M217" i="44"/>
  <c r="M395" i="44"/>
  <c r="M91" i="44"/>
  <c r="M405" i="44"/>
  <c r="B11" i="80" a="1"/>
  <c r="M261" i="44"/>
  <c r="D60" i="96" a="1"/>
  <c r="M426" i="44"/>
  <c r="M343" i="44"/>
  <c r="D22" i="96" a="1"/>
  <c r="M27" i="44"/>
  <c r="M49" i="44"/>
  <c r="M385" i="44"/>
  <c r="D28" i="96" a="1"/>
  <c r="M89" i="44"/>
  <c r="M82" i="44"/>
  <c r="M21" i="44"/>
  <c r="C41" i="97" a="1"/>
  <c r="M298" i="44"/>
  <c r="M482" i="44"/>
  <c r="M132" i="44"/>
  <c r="C69" i="96" a="1"/>
  <c r="D21" i="50" a="1"/>
  <c r="M45" i="44"/>
  <c r="M300" i="44"/>
  <c r="M372" i="44"/>
  <c r="M11" i="44"/>
  <c r="D21" i="95" a="1"/>
  <c r="M269" i="44"/>
  <c r="M324" i="44"/>
  <c r="M325" i="44"/>
  <c r="M322" i="44"/>
  <c r="D31" i="96" a="1"/>
  <c r="C28" i="96" a="1"/>
  <c r="M376" i="44"/>
  <c r="M23" i="44"/>
  <c r="C11" i="95" a="1"/>
  <c r="M381" i="44"/>
  <c r="M271" i="44"/>
  <c r="M139" i="44"/>
  <c r="M46" i="44"/>
  <c r="M236" i="44"/>
  <c r="M457" i="44"/>
  <c r="D6" i="50" a="1"/>
  <c r="C62" i="95" a="1"/>
  <c r="C38" i="97" a="1"/>
  <c r="D34" i="50" a="1"/>
  <c r="M388" i="44"/>
  <c r="M320" i="44"/>
  <c r="M417" i="44"/>
  <c r="M33" i="44"/>
  <c r="D33" i="50" a="1"/>
  <c r="C34" i="96" a="1"/>
  <c r="M451" i="44"/>
  <c r="M122" i="44"/>
  <c r="M471" i="44"/>
  <c r="D54" i="98" a="1"/>
  <c r="M443" i="44"/>
  <c r="D5" i="50" a="1"/>
  <c r="M171" i="44"/>
  <c r="M7" i="44"/>
  <c r="C9" i="81" a="1"/>
  <c r="C10" i="80" a="1"/>
  <c r="B9" i="81" a="1"/>
  <c r="D36" i="50" a="1"/>
  <c r="M339" i="44"/>
  <c r="C46" i="98" a="1"/>
  <c r="M226" i="44"/>
  <c r="M458" i="44"/>
  <c r="C33" i="95" a="1"/>
  <c r="B14" i="81" a="1"/>
  <c r="M403" i="44"/>
  <c r="D52" i="96" a="1"/>
  <c r="M362" i="44"/>
  <c r="D43" i="96" a="1"/>
  <c r="M129" i="44"/>
  <c r="C2" i="50" a="1"/>
  <c r="M40" i="44"/>
  <c r="M174" i="44"/>
  <c r="M75" i="44"/>
  <c r="D6" i="98" a="1"/>
  <c r="M92" i="44"/>
  <c r="C29" i="95" a="1"/>
  <c r="M114" i="44"/>
  <c r="M472" i="44"/>
  <c r="M368" i="44"/>
  <c r="D19" i="50" a="1"/>
  <c r="M243" i="44"/>
  <c r="M153" i="44"/>
  <c r="M302" i="44"/>
  <c r="M421" i="44"/>
  <c r="M52" i="44"/>
  <c r="C17" i="50" a="1"/>
  <c r="M13" i="44"/>
  <c r="M175" i="44"/>
  <c r="D16" i="98" a="1"/>
  <c r="C44" i="98" a="1"/>
  <c r="M133" i="44"/>
  <c r="C42" i="97" a="1"/>
  <c r="M267" i="44"/>
  <c r="D10" i="98" a="1"/>
  <c r="D20" i="50" a="1"/>
  <c r="C35" i="96" a="1"/>
  <c r="M423" i="44"/>
  <c r="C27" i="98" a="1"/>
  <c r="D22" i="95" a="1"/>
  <c r="M119" i="44"/>
  <c r="M437" i="44"/>
  <c r="M10" i="44"/>
  <c r="M53" i="44"/>
  <c r="M345" i="44"/>
  <c r="M276" i="44"/>
  <c r="M230" i="44"/>
  <c r="M120" i="44"/>
  <c r="M489" i="44"/>
  <c r="C57" i="50" a="1"/>
  <c r="C33" i="98" a="1"/>
  <c r="C36" i="50" a="1"/>
  <c r="C4" i="50" a="1"/>
  <c r="M48" i="44"/>
  <c r="C31" i="96" a="1"/>
  <c r="C36" i="97" a="1"/>
  <c r="M294" i="44"/>
  <c r="C20" i="50" a="1"/>
  <c r="C28" i="95" a="1"/>
  <c r="M94" i="44"/>
  <c r="M242" i="44"/>
  <c r="M151" i="44"/>
  <c r="M283" i="44"/>
  <c r="C25" i="97" a="1"/>
  <c r="B13" i="81" a="1"/>
  <c r="M450" i="44"/>
  <c r="M178" i="44"/>
  <c r="C32" i="98" a="1"/>
  <c r="M227" i="44"/>
  <c r="C33" i="97" a="1"/>
  <c r="B16" i="81" a="1"/>
  <c r="C10" i="96" a="1"/>
  <c r="M367" i="44"/>
  <c r="D50" i="98" a="1"/>
  <c r="M186" i="44"/>
  <c r="M316" i="44"/>
  <c r="C40" i="98" a="1"/>
  <c r="M124" i="44"/>
  <c r="D33" i="95" a="1"/>
  <c r="D16" i="50" a="1"/>
  <c r="D52" i="97" a="1"/>
  <c r="M369" i="44"/>
  <c r="C29" i="97" a="1"/>
  <c r="M8" i="44"/>
  <c r="M213" i="44"/>
  <c r="D55" i="97" a="1"/>
  <c r="M393" i="44"/>
  <c r="M341" i="44"/>
  <c r="D63" i="50" a="1"/>
  <c r="D64" i="98" a="1"/>
  <c r="M160" i="44"/>
  <c r="C42" i="96" a="1"/>
  <c r="M231" i="44"/>
  <c r="M333" i="44"/>
  <c r="M34" i="44"/>
  <c r="M400" i="44"/>
  <c r="C69" i="98" a="1"/>
  <c r="M303" i="44"/>
  <c r="C45" i="98" a="1"/>
  <c r="D36" i="95" a="1"/>
  <c r="M107" i="44"/>
  <c r="M483" i="44"/>
  <c r="M212" i="44"/>
  <c r="M398" i="44"/>
  <c r="D6" i="95" a="1"/>
  <c r="M84" i="44"/>
  <c r="M173" i="44"/>
  <c r="D44" i="50" a="1"/>
  <c r="C43" i="95" a="1"/>
  <c r="D68" i="95" a="1"/>
  <c r="C3" i="81" a="1"/>
  <c r="B7" i="80" a="1"/>
  <c r="B12" i="81" a="1"/>
  <c r="B8" i="81" a="1"/>
  <c r="D26" i="95" a="1"/>
  <c r="B11" i="81" a="1"/>
  <c r="D7" i="50" a="1"/>
  <c r="M492" i="44"/>
  <c r="M314" i="44"/>
  <c r="C37" i="95" a="1"/>
  <c r="M121" i="44"/>
  <c r="C62" i="98" a="1"/>
  <c r="M219" i="44"/>
  <c r="C41" i="95" a="1"/>
  <c r="M427" i="44"/>
  <c r="M118" i="44"/>
  <c r="M9" i="44"/>
  <c r="C40" i="97" a="1"/>
  <c r="M416" i="44"/>
  <c r="D24" i="50" a="1"/>
  <c r="M382" i="44"/>
  <c r="M439" i="44"/>
  <c r="D28" i="95" a="1"/>
  <c r="M363" i="44"/>
  <c r="M409" i="44"/>
  <c r="D4" i="50" a="1"/>
  <c r="M74" i="44"/>
  <c r="C44" i="95" a="1"/>
  <c r="M137" i="44"/>
  <c r="M375" i="44"/>
  <c r="C5" i="96" a="1"/>
  <c r="M413" i="44"/>
  <c r="M145" i="44"/>
  <c r="C16" i="95" a="1"/>
  <c r="M257" i="44"/>
  <c r="M134" i="44"/>
  <c r="M2" i="44"/>
  <c r="D56" i="50" a="1"/>
  <c r="C31" i="97" a="1"/>
  <c r="M225" i="44"/>
  <c r="D46" i="96" a="1"/>
  <c r="M187" i="44"/>
  <c r="C29" i="96" a="1"/>
  <c r="M277" i="44"/>
  <c r="C3" i="50" a="1"/>
  <c r="D54" i="95" a="1"/>
  <c r="M22" i="44"/>
  <c r="M481" i="44"/>
  <c r="M412" i="44"/>
  <c r="B16" i="80" a="1"/>
  <c r="M361" i="44"/>
  <c r="M81" i="44"/>
  <c r="M6" i="44"/>
  <c r="M418" i="44"/>
  <c r="C22" i="96" a="1"/>
  <c r="M16" i="44"/>
  <c r="D42" i="50" a="1"/>
  <c r="M177" i="44"/>
  <c r="C21" i="95" a="1"/>
  <c r="M262" i="44"/>
  <c r="D43" i="50" a="1"/>
  <c r="D35" i="95" a="1"/>
  <c r="M296" i="44"/>
  <c r="M172" i="44"/>
  <c r="M352" i="44"/>
  <c r="C42" i="95" a="1"/>
  <c r="D49" i="98" a="1"/>
  <c r="M245" i="44"/>
  <c r="M73" i="44"/>
  <c r="M340" i="44"/>
  <c r="M434" i="44"/>
  <c r="M452" i="44"/>
  <c r="M223" i="44"/>
  <c r="C39" i="95" a="1"/>
  <c r="C41" i="98" a="1"/>
  <c r="D22" i="98" a="1"/>
  <c r="C47" i="50" a="1"/>
  <c r="C30" i="96" a="1"/>
  <c r="C31" i="95" a="1"/>
  <c r="M14" i="44"/>
  <c r="C62" i="50" a="1"/>
  <c r="M43" i="44"/>
  <c r="D40" i="50" a="1"/>
  <c r="M389" i="44"/>
  <c r="C55" i="50" a="1"/>
  <c r="C25" i="98" a="1"/>
  <c r="M419" i="44"/>
  <c r="M136" i="44"/>
  <c r="M103" i="44"/>
  <c r="C62" i="97" a="1"/>
  <c r="M370" i="44"/>
  <c r="M5" i="44"/>
  <c r="M337" i="44"/>
  <c r="D44" i="95" a="1"/>
  <c r="M484" i="44"/>
  <c r="D3" i="97" a="1"/>
  <c r="M289" i="44"/>
  <c r="M127" i="44"/>
  <c r="M176" i="44"/>
  <c r="D41" i="95" a="1"/>
  <c r="M3" i="44"/>
  <c r="M95" i="44"/>
  <c r="C35" i="95" a="1"/>
  <c r="M259" i="44"/>
  <c r="D52" i="98" a="1"/>
  <c r="C47" i="96" a="1"/>
  <c r="M56" i="44"/>
  <c r="M490" i="44"/>
  <c r="M432" i="44"/>
  <c r="M165" i="44"/>
  <c r="M431" i="44"/>
  <c r="M390" i="44"/>
  <c r="M288" i="44"/>
  <c r="M193" i="44"/>
  <c r="M62" i="44"/>
  <c r="M456" i="44"/>
  <c r="D37" i="50" a="1"/>
  <c r="D39" i="95" a="1"/>
  <c r="M116" i="44"/>
  <c r="M28" i="44"/>
  <c r="M397" i="44"/>
  <c r="M491" i="44"/>
  <c r="M251" i="44"/>
  <c r="M96" i="44"/>
  <c r="M70" i="44"/>
  <c r="M430" i="44"/>
  <c r="M422" i="44"/>
  <c r="C9" i="80" a="1"/>
  <c r="C12" i="80" a="1"/>
  <c r="C11" i="80" a="1"/>
  <c r="B12" i="80" a="1"/>
  <c r="C37" i="97" a="1"/>
  <c r="M61" i="44"/>
  <c r="M442" i="44"/>
  <c r="M51" i="44"/>
  <c r="M88" i="44"/>
  <c r="C26" i="98" a="1"/>
  <c r="D60" i="98" a="1"/>
  <c r="C32" i="96" a="1"/>
  <c r="M350" i="44"/>
  <c r="M253" i="44"/>
  <c r="M15" i="44"/>
  <c r="C30" i="97" a="1"/>
  <c r="C57" i="95" a="1"/>
  <c r="M76" i="44"/>
  <c r="M24" i="44"/>
  <c r="D68" i="97" a="1"/>
  <c r="M54" i="44"/>
  <c r="D53" i="97" a="1"/>
  <c r="D68" i="96" a="1"/>
  <c r="C33" i="50" a="1"/>
  <c r="M357" i="44"/>
  <c r="M183" i="44"/>
  <c r="M79" i="44"/>
  <c r="M344" i="44"/>
  <c r="D30" i="50" a="1"/>
  <c r="M396" i="44"/>
  <c r="C45" i="97" a="1"/>
  <c r="M408" i="44"/>
  <c r="M41" i="44"/>
  <c r="M335" i="44"/>
  <c r="M158" i="44"/>
  <c r="M164" i="44"/>
  <c r="M280" i="44"/>
  <c r="D32" i="95" a="1"/>
  <c r="C26" i="95" a="1"/>
  <c r="M188" i="44"/>
  <c r="M209" i="44"/>
  <c r="M105" i="44"/>
  <c r="C4" i="95" a="1"/>
  <c r="D43" i="95" a="1"/>
  <c r="M295" i="44"/>
  <c r="M366" i="44"/>
  <c r="M313" i="44"/>
  <c r="M273" i="44"/>
  <c r="M235" i="44"/>
  <c r="M317" i="44"/>
  <c r="C44" i="50" a="1"/>
  <c r="M383" i="44"/>
  <c r="M323" i="44"/>
  <c r="M441" i="44"/>
  <c r="M404" i="44"/>
  <c r="D62" i="95" a="1"/>
  <c r="C21" i="96" a="1"/>
  <c r="M332" i="44"/>
  <c r="M161" i="44"/>
  <c r="C39" i="96" a="1"/>
  <c r="M285" i="44"/>
  <c r="C45" i="96" a="1"/>
  <c r="M275" i="44"/>
  <c r="C25" i="96" a="1"/>
  <c r="M111" i="44"/>
  <c r="M18" i="44"/>
  <c r="M468" i="44"/>
  <c r="M123" i="44"/>
  <c r="M80" i="44"/>
  <c r="M102" i="44"/>
  <c r="D50" i="97" a="1"/>
  <c r="M485" i="44"/>
  <c r="D30" i="96" a="1"/>
  <c r="M44" i="44"/>
  <c r="M287" i="44"/>
  <c r="C36" i="96" a="1"/>
  <c r="B14" i="80" a="1"/>
  <c r="M239" i="44"/>
  <c r="M258" i="44"/>
  <c r="M59" i="44"/>
  <c r="M448" i="44"/>
  <c r="M210" i="44"/>
  <c r="M220" i="44"/>
  <c r="M378" i="44"/>
  <c r="M205" i="44"/>
  <c r="M377" i="44"/>
  <c r="D63" i="95" a="1"/>
  <c r="M334" i="44"/>
  <c r="M67" i="44"/>
  <c r="C43" i="97" a="1"/>
  <c r="M474" i="44"/>
  <c r="M380" i="44"/>
  <c r="M101" i="44"/>
  <c r="M305" i="44"/>
  <c r="C18" i="50" a="1"/>
  <c r="M25" i="44"/>
  <c r="C32" i="50" a="1"/>
  <c r="D21" i="96" a="1"/>
  <c r="M464" i="44"/>
  <c r="D40" i="95" a="1"/>
  <c r="M256" i="44"/>
  <c r="D46" i="95" a="1"/>
  <c r="D24" i="98" a="1"/>
  <c r="C19" i="50" a="1"/>
  <c r="M20" i="44"/>
  <c r="M149" i="44"/>
  <c r="C21" i="50" a="1"/>
  <c r="C37" i="98" a="1"/>
  <c r="C37" i="50" a="1"/>
  <c r="M348" i="44"/>
  <c r="C38" i="50" a="1"/>
  <c r="M265" i="44"/>
  <c r="M224" i="44"/>
  <c r="M90" i="44"/>
  <c r="C5" i="97" a="1"/>
  <c r="D5" i="95" a="1"/>
  <c r="M479" i="44"/>
  <c r="M39" i="44"/>
  <c r="M108" i="44"/>
  <c r="M308" i="44"/>
  <c r="C10" i="81" a="1"/>
  <c r="C15" i="80" a="1"/>
  <c r="C12" i="81" a="1"/>
  <c r="C13" i="80" a="1"/>
  <c r="B2" i="81" a="1"/>
  <c r="M194" i="44"/>
  <c r="M78" i="44"/>
  <c r="C38" i="95" a="1"/>
  <c r="C45" i="95" a="1"/>
  <c r="M440" i="44"/>
  <c r="M371" i="44"/>
  <c r="M449" i="44"/>
  <c r="D47" i="95" a="1"/>
  <c r="M155" i="44"/>
  <c r="M143" i="44"/>
  <c r="M410" i="44"/>
  <c r="D34" i="95" a="1"/>
  <c r="D11" i="98" a="1"/>
  <c r="M117" i="44"/>
  <c r="M140" i="44"/>
  <c r="C43" i="98" a="1"/>
  <c r="D51" i="97" a="1"/>
  <c r="D41" i="50" a="1"/>
  <c r="M85" i="44"/>
  <c r="D57" i="95" a="1"/>
  <c r="M252" i="44"/>
  <c r="M338" i="44"/>
  <c r="M387" i="44"/>
  <c r="C44" i="96" a="1"/>
  <c r="M238" i="44"/>
  <c r="D29" i="50" a="1"/>
  <c r="M98" i="44"/>
  <c r="M159" i="44"/>
  <c r="M353" i="44"/>
  <c r="C41" i="96" a="1"/>
  <c r="C26" i="50" a="1"/>
  <c r="M180" i="44"/>
  <c r="M394" i="44"/>
  <c r="M77" i="44"/>
  <c r="M319" i="44"/>
  <c r="C28" i="50" a="1"/>
  <c r="M487" i="44"/>
  <c r="C44" i="97" a="1"/>
  <c r="B15" i="81" a="1"/>
  <c r="M270" i="44"/>
  <c r="D46" i="50" a="1"/>
  <c r="M195" i="44"/>
  <c r="C69" i="50" a="1"/>
  <c r="M216" i="44"/>
  <c r="M135" i="44"/>
  <c r="C31" i="50" a="1"/>
  <c r="C31" i="98" a="1"/>
  <c r="D6" i="96" a="1"/>
  <c r="C28" i="97" a="1"/>
  <c r="M477" i="44"/>
  <c r="M425" i="44"/>
  <c r="M297" i="44"/>
  <c r="D42" i="96" a="1"/>
  <c r="C29" i="50" a="1"/>
  <c r="D55" i="50" a="1"/>
  <c r="D39" i="50" a="1"/>
  <c r="D18" i="98" a="1"/>
  <c r="M214" i="44"/>
  <c r="M264" i="44"/>
  <c r="M203" i="44"/>
  <c r="M197" i="44"/>
  <c r="D32" i="50" a="1"/>
  <c r="M495" i="44"/>
  <c r="C16" i="50" a="1"/>
  <c r="D18" i="95" a="1"/>
  <c r="M360" i="44"/>
  <c r="M311" i="44"/>
  <c r="M144" i="44"/>
  <c r="C39" i="50" a="1"/>
  <c r="D33" i="96" a="1"/>
  <c r="C36" i="95" a="1"/>
  <c r="M100" i="44"/>
  <c r="M86" i="44"/>
  <c r="M207" i="44"/>
  <c r="C34" i="50" a="1"/>
  <c r="M336" i="44"/>
  <c r="D16" i="97" a="1"/>
  <c r="C33" i="96" a="1"/>
  <c r="M222" i="44"/>
  <c r="D51" i="50" a="1"/>
  <c r="B15" i="80" a="1"/>
  <c r="M406" i="44"/>
  <c r="C25" i="50" a="1"/>
  <c r="M480" i="44"/>
  <c r="D49" i="97" a="1"/>
  <c r="M68" i="44"/>
  <c r="C39" i="98" a="1"/>
  <c r="M411" i="44"/>
  <c r="M113" i="44"/>
  <c r="C22" i="97" a="1"/>
  <c r="M364" i="44"/>
  <c r="M306" i="44"/>
  <c r="M459" i="44"/>
  <c r="M379" i="44"/>
  <c r="M104" i="44"/>
  <c r="M35" i="44"/>
  <c r="C30" i="95" a="1"/>
  <c r="C46" i="97" a="1"/>
  <c r="M384" i="44"/>
  <c r="M87" i="44"/>
  <c r="M466" i="44"/>
  <c r="M293" i="44"/>
  <c r="M349" i="44"/>
  <c r="C34" i="95" a="1"/>
  <c r="M249" i="44"/>
  <c r="M260" i="44"/>
  <c r="M478" i="44"/>
  <c r="M255" i="44"/>
  <c r="C5" i="50" a="1"/>
  <c r="M166" i="44"/>
  <c r="M150" i="44"/>
  <c r="M208" i="44"/>
  <c r="M32" i="44"/>
  <c r="M204" i="44"/>
  <c r="M392" i="44"/>
  <c r="M163" i="44"/>
  <c r="M55" i="44"/>
  <c r="C16" i="80" a="1"/>
  <c r="B7" i="81" a="1"/>
  <c r="B8" i="80" a="1"/>
  <c r="B2" i="80" a="1"/>
  <c r="M373" i="44"/>
  <c r="M469" i="44"/>
  <c r="M110" i="44"/>
  <c r="D42" i="95" a="1"/>
  <c r="M460" i="44"/>
  <c r="M138" i="44"/>
  <c r="M69" i="44"/>
  <c r="M326" i="44"/>
  <c r="M473" i="44"/>
  <c r="C10" i="95" a="1"/>
  <c r="M415" i="44"/>
  <c r="M284" i="44"/>
  <c r="C46" i="95" a="1"/>
  <c r="M106" i="44"/>
  <c r="M146" i="44"/>
  <c r="C40" i="95" a="1"/>
  <c r="M19" i="44"/>
  <c r="M66" i="44"/>
  <c r="C47" i="98" a="1"/>
  <c r="C23" i="50" a="1"/>
  <c r="M321" i="44"/>
  <c r="M436" i="44"/>
  <c r="C55" i="95" a="1"/>
  <c r="C62" i="96" a="1"/>
  <c r="C42" i="98" a="1"/>
  <c r="M493" i="44"/>
  <c r="D41" i="96" a="1"/>
  <c r="M292" i="44"/>
  <c r="D44" i="96" a="1"/>
  <c r="M26" i="44"/>
  <c r="M240" i="44"/>
  <c r="C47" i="97" a="1"/>
  <c r="D51" i="98" a="1"/>
  <c r="M185" i="44"/>
  <c r="D22" i="50" a="1"/>
  <c r="C37" i="96" a="1"/>
  <c r="M202" i="44"/>
  <c r="M359" i="44"/>
  <c r="M200" i="44"/>
  <c r="C8" i="81" a="1"/>
  <c r="C43" i="50" a="1"/>
  <c r="M453" i="44"/>
  <c r="B9" i="80" a="1"/>
  <c r="M130" i="44"/>
  <c r="M266" i="44"/>
  <c r="C8" i="80" a="1"/>
  <c r="C46" i="96" a="1"/>
  <c r="M299" i="44"/>
  <c r="D68" i="50" a="1"/>
  <c r="M274" i="44"/>
  <c r="C42" i="50" a="1"/>
  <c r="M4" i="44"/>
  <c r="C14" i="80" a="1"/>
  <c r="M152" i="44"/>
  <c r="D45" i="96" a="1"/>
  <c r="M36" i="44"/>
  <c r="M354" i="44"/>
  <c r="M215" i="44"/>
  <c r="M234" i="44"/>
  <c r="M17" i="44"/>
  <c r="C38" i="96" a="1"/>
  <c r="D28" i="50" a="1"/>
  <c r="M12" i="44"/>
  <c r="M254" i="44"/>
  <c r="D45" i="95" a="1"/>
  <c r="D45" i="50" a="1"/>
  <c r="D27" i="95" a="1"/>
  <c r="M391" i="44"/>
  <c r="D5" i="96" a="1"/>
  <c r="C10" i="50" a="1"/>
  <c r="M237" i="44"/>
  <c r="M30" i="44"/>
  <c r="D11" i="96" a="1"/>
  <c r="C32" i="97" a="1"/>
  <c r="C30" i="98" a="1"/>
  <c r="D30" i="95" a="1"/>
  <c r="C47" i="95" a="1"/>
  <c r="C27" i="96" a="1"/>
  <c r="M282" i="44"/>
  <c r="M71" i="44"/>
  <c r="M221" i="44"/>
  <c r="M218" i="44"/>
  <c r="M307" i="44"/>
  <c r="M229" i="44"/>
  <c r="M309" i="44"/>
  <c r="M445" i="44"/>
  <c r="M131" i="44"/>
  <c r="C26" i="96" a="1"/>
  <c r="D55" i="98" a="1"/>
  <c r="M232" i="44"/>
  <c r="M315" i="44"/>
  <c r="M29" i="44"/>
  <c r="M192" i="44"/>
  <c r="M429" i="44"/>
  <c r="M424" i="44"/>
  <c r="M57" i="44"/>
  <c r="C3" i="80" a="1"/>
  <c r="C36" i="98" a="1"/>
  <c r="M420" i="44"/>
  <c r="M329" i="44"/>
  <c r="D20" i="98" a="1"/>
  <c r="C38" i="98" a="1"/>
  <c r="C13" i="81" a="1"/>
  <c r="M189" i="44"/>
  <c r="M281" i="44"/>
  <c r="D4" i="95" a="1"/>
  <c r="M347" i="44"/>
  <c r="C11" i="50" a="1"/>
  <c r="M191" i="44"/>
  <c r="M463" i="44"/>
  <c r="M401" i="44"/>
  <c r="M272" i="44"/>
  <c r="D37" i="95" a="1"/>
  <c r="M461" i="44"/>
  <c r="C5" i="95" a="1"/>
  <c r="M190" i="44"/>
  <c r="M112" i="44"/>
  <c r="M331" i="44"/>
  <c r="M247" i="44"/>
  <c r="D18" i="97" a="1"/>
  <c r="M109" i="44"/>
  <c r="C26" i="97" a="1"/>
  <c r="M470" i="44"/>
  <c r="M50" i="44"/>
  <c r="C39" i="97" a="1"/>
  <c r="M465" i="44"/>
  <c r="M147" i="44"/>
  <c r="M244" i="44"/>
  <c r="D47" i="50" a="1"/>
  <c r="D62" i="50" a="1"/>
  <c r="M31" i="44"/>
  <c r="D64" i="95" a="1"/>
  <c r="M399" i="44"/>
  <c r="M488" i="44"/>
  <c r="D68" i="98" a="1"/>
  <c r="M248" i="44"/>
  <c r="M228" i="44"/>
  <c r="C29" i="98" a="1"/>
  <c r="M170" i="44"/>
  <c r="M330" i="44"/>
  <c r="M65" i="44"/>
  <c r="M63" i="44"/>
  <c r="M351" i="44"/>
  <c r="M462" i="44"/>
  <c r="M433" i="44"/>
  <c r="M494" i="44"/>
  <c r="C14" i="81" a="1"/>
  <c r="C32" i="95" a="1"/>
  <c r="B10" i="80" a="1"/>
  <c r="C46" i="50" a="1"/>
  <c r="M169" i="44"/>
  <c r="M38" i="44"/>
  <c r="M263" i="44"/>
  <c r="M128" i="44"/>
  <c r="D24" i="95" a="1"/>
  <c r="M356" i="44"/>
  <c r="B10" i="81" a="1"/>
  <c r="M141" i="44"/>
  <c r="D50" i="95" a="1"/>
  <c r="M60" i="44"/>
  <c r="C27" i="95" a="1"/>
  <c r="C40" i="96" a="1"/>
  <c r="M467" i="44"/>
  <c r="C35" i="50" a="1"/>
  <c r="C25" i="95" a="1"/>
  <c r="M355" i="44"/>
  <c r="M58" i="44"/>
  <c r="D25" i="50" a="1"/>
  <c r="M182" i="44"/>
  <c r="M290" i="44"/>
  <c r="C40" i="50" a="1"/>
  <c r="C43" i="96" a="1"/>
  <c r="M291" i="44"/>
  <c r="M250" i="44"/>
  <c r="C27" i="50" a="1"/>
  <c r="D38" i="50" a="1"/>
  <c r="M278" i="44"/>
  <c r="M346" i="44"/>
  <c r="C28" i="98" a="1"/>
  <c r="M115" i="44"/>
  <c r="D62" i="96" a="1"/>
  <c r="D35" i="50" a="1"/>
  <c r="M486" i="44"/>
  <c r="M181" i="44"/>
  <c r="D39" i="96" a="1"/>
  <c r="C30" i="50" a="1"/>
  <c r="D2" i="50" a="1"/>
  <c r="M184" i="44"/>
  <c r="C16" i="81" a="1"/>
  <c r="D7" i="98" a="1"/>
  <c r="D29" i="95" a="1"/>
  <c r="C4" i="96" a="1"/>
  <c r="D23" i="95" a="1"/>
  <c r="M47" i="44"/>
  <c r="M93" i="44"/>
  <c r="M286" i="44"/>
  <c r="D38" i="95" a="1"/>
  <c r="M199" i="44"/>
  <c r="D10" i="96" a="1"/>
  <c r="M446" i="44"/>
  <c r="M428" i="44"/>
  <c r="M162" i="44"/>
  <c r="C11" i="81" a="1"/>
  <c r="M304" i="44"/>
  <c r="M444" i="44"/>
  <c r="D29" i="96" a="1"/>
  <c r="D34" i="98" a="1"/>
  <c r="C15" i="81" a="1"/>
  <c r="M125" i="44"/>
  <c r="D25" i="95" a="1"/>
  <c r="C69" i="97" a="1"/>
  <c r="D64" i="50" a="1"/>
  <c r="M246" i="44"/>
  <c r="M179" i="44"/>
  <c r="M268" i="44"/>
  <c r="D57" i="50" a="1"/>
  <c r="C24" i="50" a="1"/>
  <c r="D32" i="96" a="1"/>
  <c r="M435" i="44"/>
  <c r="M201" i="44"/>
  <c r="M148" i="44"/>
  <c r="M97" i="44"/>
  <c r="M83" i="44"/>
  <c r="M206" i="44"/>
  <c r="M157" i="44"/>
  <c r="M198" i="44"/>
  <c r="M142" i="44"/>
  <c r="D31" i="50" a="1"/>
  <c r="M476" i="44"/>
  <c r="M301" i="44"/>
  <c r="M72" i="44"/>
  <c r="M414" i="44"/>
  <c r="C2" i="95" a="1"/>
  <c r="C41" i="50" a="1"/>
  <c r="M386" i="44"/>
  <c r="C69" i="95" a="1"/>
  <c r="M37" i="44"/>
  <c r="D10" i="50" a="1"/>
  <c r="D26" i="50" a="1"/>
  <c r="D10" i="95" a="1"/>
  <c r="M328" i="44"/>
  <c r="M475" i="44"/>
  <c r="C21" i="97" a="1"/>
  <c r="M454" i="44"/>
  <c r="M241" i="44"/>
  <c r="C23" i="95" a="1"/>
  <c r="D6" i="97" a="1"/>
  <c r="D6" i="97" l="1"/>
  <c r="I21" i="90" s="1"/>
  <c r="C23" i="95"/>
  <c r="N241" i="44"/>
  <c r="Q241" i="44" s="1"/>
  <c r="N454" i="44"/>
  <c r="Q454" i="44" s="1"/>
  <c r="C21" i="97"/>
  <c r="G36" i="90" s="1"/>
  <c r="N475" i="44"/>
  <c r="Q475" i="44" s="1"/>
  <c r="N328" i="44"/>
  <c r="E68" i="48" s="1"/>
  <c r="D10" i="95"/>
  <c r="D26" i="50"/>
  <c r="D10" i="50"/>
  <c r="N37" i="44"/>
  <c r="C69" i="95"/>
  <c r="G52" i="92" s="1"/>
  <c r="N386" i="44"/>
  <c r="I77" i="48" s="1"/>
  <c r="C41" i="50"/>
  <c r="C2" i="95"/>
  <c r="G17" i="92" s="1"/>
  <c r="N414" i="44"/>
  <c r="Q414" i="44" s="1"/>
  <c r="N72" i="44"/>
  <c r="N301" i="44"/>
  <c r="Q301" i="44" s="1"/>
  <c r="N476" i="44"/>
  <c r="Q476" i="44" s="1"/>
  <c r="D31" i="50"/>
  <c r="N142" i="44"/>
  <c r="Q142" i="44" s="1"/>
  <c r="N198" i="44"/>
  <c r="Q198" i="44" s="1"/>
  <c r="N157" i="44"/>
  <c r="Q157" i="44" s="1"/>
  <c r="N206" i="44"/>
  <c r="Q206" i="44" s="1"/>
  <c r="N83" i="44"/>
  <c r="N97" i="44"/>
  <c r="N148" i="44"/>
  <c r="N201" i="44"/>
  <c r="N435" i="44"/>
  <c r="I82" i="46" s="1"/>
  <c r="D32" i="96"/>
  <c r="C24" i="50"/>
  <c r="D57" i="50"/>
  <c r="N268" i="44"/>
  <c r="Q268" i="44" s="1"/>
  <c r="N179" i="44"/>
  <c r="Q179" i="44" s="1"/>
  <c r="N246" i="44"/>
  <c r="Q246" i="44" s="1"/>
  <c r="D64" i="50"/>
  <c r="I42" i="93" s="1"/>
  <c r="C69" i="97"/>
  <c r="G84" i="90" s="1"/>
  <c r="D25" i="95"/>
  <c r="N125" i="44"/>
  <c r="I23" i="48" s="1"/>
  <c r="C15" i="81"/>
  <c r="D34" i="98"/>
  <c r="I49" i="89" s="1"/>
  <c r="D29" i="96"/>
  <c r="N444" i="44"/>
  <c r="Q444" i="44" s="1"/>
  <c r="N304" i="44"/>
  <c r="Q304" i="44" s="1"/>
  <c r="C11" i="81"/>
  <c r="N162" i="44"/>
  <c r="Q162" i="44" s="1"/>
  <c r="N428" i="44"/>
  <c r="Q428" i="44" s="1"/>
  <c r="N446" i="44"/>
  <c r="Q446" i="44" s="1"/>
  <c r="H82" i="49" s="1"/>
  <c r="D10" i="96"/>
  <c r="N199" i="44"/>
  <c r="Q199" i="44" s="1"/>
  <c r="D38" i="95"/>
  <c r="N286" i="44"/>
  <c r="E68" i="47"/>
  <c r="E68" i="49"/>
  <c r="E10" i="49"/>
  <c r="Q37" i="44"/>
  <c r="E10" i="48"/>
  <c r="Q72" i="44"/>
  <c r="I40" i="46"/>
  <c r="Q83" i="44"/>
  <c r="E14" i="47"/>
  <c r="I14" i="48"/>
  <c r="I14" i="49"/>
  <c r="E14" i="46"/>
  <c r="Q97" i="44"/>
  <c r="I27" i="46"/>
  <c r="Q148" i="44"/>
  <c r="H27" i="46" s="1"/>
  <c r="Q201" i="44"/>
  <c r="Q435" i="44"/>
  <c r="Q125" i="44"/>
  <c r="I82" i="49"/>
  <c r="Q286" i="44"/>
  <c r="I62" i="45"/>
  <c r="N93" i="44"/>
  <c r="N47" i="44"/>
  <c r="Q47" i="44" s="1"/>
  <c r="D23" i="95"/>
  <c r="C4" i="96"/>
  <c r="G19" i="91" s="1"/>
  <c r="D29" i="95"/>
  <c r="D7" i="98"/>
  <c r="I22" i="89" s="1"/>
  <c r="C16" i="81"/>
  <c r="N184" i="44"/>
  <c r="D2" i="50"/>
  <c r="C30" i="50"/>
  <c r="D39" i="96"/>
  <c r="N181" i="44"/>
  <c r="Q181" i="44" s="1"/>
  <c r="N486" i="44"/>
  <c r="Q486" i="44" s="1"/>
  <c r="D35" i="50"/>
  <c r="D62" i="96"/>
  <c r="N115" i="44"/>
  <c r="Q115" i="44" s="1"/>
  <c r="C28" i="98"/>
  <c r="G43" i="89" s="1"/>
  <c r="N346" i="44"/>
  <c r="N278" i="44"/>
  <c r="Q278" i="44" s="1"/>
  <c r="D38" i="50"/>
  <c r="C27" i="50"/>
  <c r="N250" i="44"/>
  <c r="Q250" i="44" s="1"/>
  <c r="N291" i="44"/>
  <c r="Q291" i="44" s="1"/>
  <c r="C43" i="96"/>
  <c r="C40" i="50"/>
  <c r="N290" i="44"/>
  <c r="P290" i="44"/>
  <c r="S290" i="44" s="1"/>
  <c r="U290" i="44" s="1"/>
  <c r="N182" i="44"/>
  <c r="Q182" i="44" s="1"/>
  <c r="D25" i="50"/>
  <c r="P58" i="44"/>
  <c r="S55" i="44" s="1"/>
  <c r="U55" i="44" s="1"/>
  <c r="W33" i="44" s="1"/>
  <c r="N58" i="44"/>
  <c r="Q58" i="44" s="1"/>
  <c r="N355" i="44"/>
  <c r="Q355" i="44" s="1"/>
  <c r="C25" i="95"/>
  <c r="C35" i="50"/>
  <c r="N467" i="44"/>
  <c r="Q467" i="44" s="1"/>
  <c r="C40" i="96"/>
  <c r="G46" i="91" s="1"/>
  <c r="C27" i="95"/>
  <c r="N60" i="44"/>
  <c r="D50" i="95"/>
  <c r="I35" i="92" s="1"/>
  <c r="N141" i="44"/>
  <c r="Q141" i="44" s="1"/>
  <c r="B10" i="81"/>
  <c r="N356" i="44"/>
  <c r="D24" i="95"/>
  <c r="N128" i="44"/>
  <c r="Q128" i="44" s="1"/>
  <c r="N263" i="44"/>
  <c r="Q263" i="44" s="1"/>
  <c r="N38" i="44"/>
  <c r="Q38" i="44" s="1"/>
  <c r="N169" i="44"/>
  <c r="C46" i="50"/>
  <c r="B10" i="80"/>
  <c r="C32" i="95"/>
  <c r="C14" i="81"/>
  <c r="N494" i="44"/>
  <c r="N433" i="44"/>
  <c r="Q433" i="44" s="1"/>
  <c r="N462" i="44"/>
  <c r="Q462" i="44" s="1"/>
  <c r="N351" i="44"/>
  <c r="N63" i="44"/>
  <c r="Q63" i="44" s="1"/>
  <c r="N65" i="44"/>
  <c r="Q65" i="44" s="1"/>
  <c r="N330" i="44"/>
  <c r="Q330" i="44" s="1"/>
  <c r="N170" i="44"/>
  <c r="C29" i="98"/>
  <c r="G44" i="89" s="1"/>
  <c r="N228" i="44"/>
  <c r="Q228" i="44" s="1"/>
  <c r="N248" i="44"/>
  <c r="Q248" i="44" s="1"/>
  <c r="D68" i="98"/>
  <c r="I83" i="89" s="1"/>
  <c r="N488" i="44"/>
  <c r="N399" i="44"/>
  <c r="Q399" i="44" s="1"/>
  <c r="D64" i="95"/>
  <c r="I47" i="92" s="1"/>
  <c r="N31" i="44"/>
  <c r="Q31" i="44" s="1"/>
  <c r="D62" i="50"/>
  <c r="D47" i="50"/>
  <c r="N244" i="44"/>
  <c r="N147" i="44"/>
  <c r="N465" i="44"/>
  <c r="Q465" i="44" s="1"/>
  <c r="C39" i="97"/>
  <c r="G54" i="90" s="1"/>
  <c r="N50" i="44"/>
  <c r="Q50" i="44" s="1"/>
  <c r="N470" i="44"/>
  <c r="Q470" i="44" s="1"/>
  <c r="C26" i="97"/>
  <c r="G41" i="90" s="1"/>
  <c r="N109" i="44"/>
  <c r="Q109" i="44" s="1"/>
  <c r="D18" i="97"/>
  <c r="I33" i="90" s="1"/>
  <c r="N247" i="44"/>
  <c r="Q247" i="44" s="1"/>
  <c r="N331" i="44"/>
  <c r="Q331" i="44" s="1"/>
  <c r="N112" i="44"/>
  <c r="N190" i="44"/>
  <c r="Q190" i="44" s="1"/>
  <c r="C5" i="95"/>
  <c r="N461" i="44"/>
  <c r="Q461" i="44" s="1"/>
  <c r="D37" i="95"/>
  <c r="N272" i="44"/>
  <c r="Q272" i="44" s="1"/>
  <c r="N401" i="44"/>
  <c r="Q401" i="44" s="1"/>
  <c r="N463" i="44"/>
  <c r="Q463" i="44" s="1"/>
  <c r="N191" i="44"/>
  <c r="Q191" i="44" s="1"/>
  <c r="C11" i="50"/>
  <c r="G22" i="93" s="1"/>
  <c r="N347" i="44"/>
  <c r="Q347" i="44" s="1"/>
  <c r="D4" i="95"/>
  <c r="N281" i="44"/>
  <c r="Q281" i="44" s="1"/>
  <c r="N189" i="44"/>
  <c r="Q189" i="44" s="1"/>
  <c r="C13" i="81"/>
  <c r="C38" i="98"/>
  <c r="G53" i="89" s="1"/>
  <c r="D20" i="98"/>
  <c r="I35" i="89" s="1"/>
  <c r="N329" i="44"/>
  <c r="N420" i="44"/>
  <c r="C36" i="98"/>
  <c r="G51" i="89" s="1"/>
  <c r="C3" i="80"/>
  <c r="N57" i="44"/>
  <c r="Q57" i="44" s="1"/>
  <c r="N424" i="44"/>
  <c r="N429" i="44"/>
  <c r="N192" i="44"/>
  <c r="Q192" i="44" s="1"/>
  <c r="N29" i="44"/>
  <c r="Q29" i="44" s="1"/>
  <c r="N315" i="44"/>
  <c r="N232" i="44"/>
  <c r="Q232" i="44" s="1"/>
  <c r="D55" i="98"/>
  <c r="I70" i="89" s="1"/>
  <c r="C26" i="96"/>
  <c r="G39" i="91" s="1"/>
  <c r="N131" i="44"/>
  <c r="Q131" i="44" s="1"/>
  <c r="N445" i="44"/>
  <c r="N309" i="44"/>
  <c r="Q309" i="44" s="1"/>
  <c r="N229" i="44"/>
  <c r="N307" i="44"/>
  <c r="N218" i="44"/>
  <c r="Q218" i="44" s="1"/>
  <c r="N221" i="44"/>
  <c r="Q221" i="44" s="1"/>
  <c r="N71" i="44"/>
  <c r="N282" i="44"/>
  <c r="Q282" i="44" s="1"/>
  <c r="C27" i="96"/>
  <c r="G40" i="91" s="1"/>
  <c r="C47" i="95"/>
  <c r="D30" i="95"/>
  <c r="C30" i="98"/>
  <c r="G45" i="89" s="1"/>
  <c r="C32" i="97"/>
  <c r="G47" i="90" s="1"/>
  <c r="D11" i="96"/>
  <c r="I24" i="91" s="1"/>
  <c r="N30" i="44"/>
  <c r="Q30" i="44" s="1"/>
  <c r="N237" i="44"/>
  <c r="Q237" i="44" s="1"/>
  <c r="C10" i="50"/>
  <c r="D5" i="96"/>
  <c r="N391" i="44"/>
  <c r="Q391" i="44" s="1"/>
  <c r="D27" i="95"/>
  <c r="D45" i="50"/>
  <c r="D45" i="95"/>
  <c r="N254" i="44"/>
  <c r="Q254" i="44" s="1"/>
  <c r="N12" i="44"/>
  <c r="D28" i="50"/>
  <c r="C38" i="96"/>
  <c r="G45" i="91" s="1"/>
  <c r="N17" i="44"/>
  <c r="Q17" i="44" s="1"/>
  <c r="N234" i="44"/>
  <c r="Q234" i="44" s="1"/>
  <c r="N215" i="44"/>
  <c r="Q215" i="44" s="1"/>
  <c r="N354" i="44"/>
  <c r="Q354" i="44" s="1"/>
  <c r="N36" i="44"/>
  <c r="D45" i="96"/>
  <c r="N152" i="44"/>
  <c r="Q152" i="44" s="1"/>
  <c r="C14" i="80"/>
  <c r="C42" i="50"/>
  <c r="N274" i="44"/>
  <c r="D68" i="50"/>
  <c r="I46" i="93" s="1"/>
  <c r="N299" i="44"/>
  <c r="C46" i="96"/>
  <c r="C8" i="80"/>
  <c r="N266" i="44"/>
  <c r="Q266" i="44" s="1"/>
  <c r="N130" i="44"/>
  <c r="Q130" i="44" s="1"/>
  <c r="B9" i="80"/>
  <c r="N453" i="44"/>
  <c r="Q453" i="44" s="1"/>
  <c r="C43" i="50"/>
  <c r="C8" i="81"/>
  <c r="N200" i="44"/>
  <c r="Q200" i="44" s="1"/>
  <c r="N359" i="44"/>
  <c r="N202" i="44"/>
  <c r="Q202" i="44" s="1"/>
  <c r="C37" i="96"/>
  <c r="G44" i="91" s="1"/>
  <c r="D22" i="50"/>
  <c r="N185" i="44"/>
  <c r="Q185" i="44" s="1"/>
  <c r="D51" i="98"/>
  <c r="I66" i="89" s="1"/>
  <c r="C47" i="97"/>
  <c r="G62" i="90" s="1"/>
  <c r="N240" i="44"/>
  <c r="Q240" i="44" s="1"/>
  <c r="N26" i="44"/>
  <c r="Q26" i="44" s="1"/>
  <c r="D44" i="96"/>
  <c r="N292" i="44"/>
  <c r="Q292" i="44" s="1"/>
  <c r="D41" i="96"/>
  <c r="N493" i="44"/>
  <c r="Q493" i="44" s="1"/>
  <c r="C42" i="98"/>
  <c r="G57" i="89" s="1"/>
  <c r="C62" i="96"/>
  <c r="C55" i="95"/>
  <c r="G40" i="92" s="1"/>
  <c r="N436" i="44"/>
  <c r="N321" i="44"/>
  <c r="Q321" i="44" s="1"/>
  <c r="C23" i="50"/>
  <c r="C47" i="98"/>
  <c r="G62" i="89" s="1"/>
  <c r="N66" i="44"/>
  <c r="Q66" i="44" s="1"/>
  <c r="N19" i="44"/>
  <c r="Q19" i="44" s="1"/>
  <c r="C40" i="95"/>
  <c r="N146" i="44"/>
  <c r="Q146" i="44" s="1"/>
  <c r="N106" i="44"/>
  <c r="C46" i="95"/>
  <c r="N284" i="44"/>
  <c r="Q284" i="44" s="1"/>
  <c r="N415" i="44"/>
  <c r="Q415" i="44" s="1"/>
  <c r="C10" i="95"/>
  <c r="N473" i="44"/>
  <c r="Q473" i="44" s="1"/>
  <c r="N326" i="44"/>
  <c r="Q326" i="44" s="1"/>
  <c r="N69" i="44"/>
  <c r="Q69" i="44" s="1"/>
  <c r="N138" i="44"/>
  <c r="N460" i="44"/>
  <c r="D42" i="95"/>
  <c r="N110" i="44"/>
  <c r="Q110" i="44" s="1"/>
  <c r="N469" i="44"/>
  <c r="Q469" i="44" s="1"/>
  <c r="N373" i="44"/>
  <c r="Q373" i="44" s="1"/>
  <c r="B2" i="80"/>
  <c r="B8" i="80"/>
  <c r="B7" i="81"/>
  <c r="C16" i="80"/>
  <c r="N55" i="44"/>
  <c r="N163" i="44"/>
  <c r="Q163" i="44" s="1"/>
  <c r="N392" i="44"/>
  <c r="Q392" i="44" s="1"/>
  <c r="N204" i="44"/>
  <c r="N32" i="44"/>
  <c r="Q32" i="44" s="1"/>
  <c r="N208" i="44"/>
  <c r="Q208" i="44" s="1"/>
  <c r="P150" i="44"/>
  <c r="S149" i="44" s="1"/>
  <c r="U149" i="44" s="1"/>
  <c r="W149" i="44" s="1"/>
  <c r="P134" i="44"/>
  <c r="S133" i="44" s="1"/>
  <c r="U133" i="44" s="1"/>
  <c r="W133" i="44" s="1"/>
  <c r="N150" i="44"/>
  <c r="Q150" i="44" s="1"/>
  <c r="N166" i="44"/>
  <c r="Q166" i="44" s="1"/>
  <c r="C5" i="50"/>
  <c r="N255" i="44"/>
  <c r="Q255" i="44" s="1"/>
  <c r="N478" i="44"/>
  <c r="Q478" i="44" s="1"/>
  <c r="N260" i="44"/>
  <c r="Q260" i="44" s="1"/>
  <c r="N249" i="44"/>
  <c r="Q249" i="44" s="1"/>
  <c r="C34" i="95"/>
  <c r="N349" i="44"/>
  <c r="Q349" i="44" s="1"/>
  <c r="N293" i="44"/>
  <c r="Q293" i="44" s="1"/>
  <c r="N466" i="44"/>
  <c r="Q466" i="44" s="1"/>
  <c r="N87" i="44"/>
  <c r="Q87" i="44" s="1"/>
  <c r="N384" i="44"/>
  <c r="C46" i="97"/>
  <c r="G61" i="90" s="1"/>
  <c r="C30" i="95"/>
  <c r="N35" i="44"/>
  <c r="Q35" i="44" s="1"/>
  <c r="N104" i="44"/>
  <c r="Q104" i="44" s="1"/>
  <c r="N379" i="44"/>
  <c r="Q379" i="44" s="1"/>
  <c r="N459" i="44"/>
  <c r="Q459" i="44" s="1"/>
  <c r="N306" i="44"/>
  <c r="N364" i="44"/>
  <c r="Q364" i="44" s="1"/>
  <c r="C22" i="97"/>
  <c r="G37" i="90" s="1"/>
  <c r="N113" i="44"/>
  <c r="Q113" i="44" s="1"/>
  <c r="N411" i="44"/>
  <c r="Q411" i="44" s="1"/>
  <c r="C39" i="98"/>
  <c r="G54" i="89" s="1"/>
  <c r="N68" i="44"/>
  <c r="Q68" i="44" s="1"/>
  <c r="D49" i="97"/>
  <c r="I64" i="90" s="1"/>
  <c r="N480" i="44"/>
  <c r="Q480" i="44" s="1"/>
  <c r="C25" i="50"/>
  <c r="N406" i="44"/>
  <c r="Q406" i="44" s="1"/>
  <c r="B15" i="80"/>
  <c r="D51" i="50"/>
  <c r="I32" i="93" s="1"/>
  <c r="N222" i="44"/>
  <c r="Q222" i="44" s="1"/>
  <c r="C33" i="96"/>
  <c r="D16" i="97"/>
  <c r="I31" i="90" s="1"/>
  <c r="N336" i="44"/>
  <c r="Q336" i="44" s="1"/>
  <c r="C34" i="50"/>
  <c r="N207" i="44"/>
  <c r="Q207" i="44" s="1"/>
  <c r="N86" i="44"/>
  <c r="Q86" i="44" s="1"/>
  <c r="N100" i="44"/>
  <c r="Q100" i="44" s="1"/>
  <c r="C36" i="95"/>
  <c r="D33" i="96"/>
  <c r="C39" i="50"/>
  <c r="N144" i="44"/>
  <c r="N311" i="44"/>
  <c r="Q311" i="44" s="1"/>
  <c r="N360" i="44"/>
  <c r="Q360" i="44" s="1"/>
  <c r="D18" i="95"/>
  <c r="I30" i="92" s="1"/>
  <c r="C16" i="50"/>
  <c r="N495" i="44"/>
  <c r="D32" i="50"/>
  <c r="N197" i="44"/>
  <c r="Q197" i="44" s="1"/>
  <c r="N203" i="44"/>
  <c r="Q203" i="44" s="1"/>
  <c r="N264" i="44"/>
  <c r="Q264" i="44" s="1"/>
  <c r="N214" i="44"/>
  <c r="Q214" i="44" s="1"/>
  <c r="D18" i="98"/>
  <c r="I33" i="89" s="1"/>
  <c r="D39" i="50"/>
  <c r="D55" i="50"/>
  <c r="C29" i="50"/>
  <c r="D42" i="96"/>
  <c r="N297" i="44"/>
  <c r="Q297" i="44" s="1"/>
  <c r="N425" i="44"/>
  <c r="N477" i="44"/>
  <c r="C28" i="97"/>
  <c r="G43" i="90" s="1"/>
  <c r="D6" i="96"/>
  <c r="I20" i="91" s="1"/>
  <c r="C31" i="98"/>
  <c r="G46" i="89" s="1"/>
  <c r="C31" i="50"/>
  <c r="N135" i="44"/>
  <c r="N216" i="44"/>
  <c r="C69" i="50"/>
  <c r="G47" i="93" s="1"/>
  <c r="N195" i="44"/>
  <c r="Q195" i="44" s="1"/>
  <c r="D46" i="50"/>
  <c r="N270" i="44"/>
  <c r="Q270" i="44" s="1"/>
  <c r="B15" i="81"/>
  <c r="C44" i="97"/>
  <c r="G59" i="90" s="1"/>
  <c r="N487" i="44"/>
  <c r="C28" i="50"/>
  <c r="N319" i="44"/>
  <c r="N77" i="44"/>
  <c r="Q77" i="44" s="1"/>
  <c r="N394" i="44"/>
  <c r="N180" i="44"/>
  <c r="C26" i="50"/>
  <c r="C41" i="96"/>
  <c r="N353" i="44"/>
  <c r="Q353" i="44" s="1"/>
  <c r="N159" i="44"/>
  <c r="Q159" i="44" s="1"/>
  <c r="N98" i="44"/>
  <c r="I17" i="46" s="1"/>
  <c r="D29" i="50"/>
  <c r="N238" i="44"/>
  <c r="C44" i="96"/>
  <c r="N387" i="44"/>
  <c r="Q387" i="44" s="1"/>
  <c r="N338" i="44"/>
  <c r="N252" i="44"/>
  <c r="Q252" i="44" s="1"/>
  <c r="D57" i="95"/>
  <c r="N85" i="44"/>
  <c r="D41" i="50"/>
  <c r="D51" i="97"/>
  <c r="I66" i="90" s="1"/>
  <c r="C43" i="98"/>
  <c r="G58" i="89" s="1"/>
  <c r="N140" i="44"/>
  <c r="N117" i="44"/>
  <c r="Q117" i="44" s="1"/>
  <c r="D11" i="98"/>
  <c r="I26" i="89" s="1"/>
  <c r="D34" i="95"/>
  <c r="N410" i="44"/>
  <c r="Q410" i="44" s="1"/>
  <c r="N143" i="44"/>
  <c r="Q143" i="44" s="1"/>
  <c r="N155" i="44"/>
  <c r="D47" i="95"/>
  <c r="N449" i="44"/>
  <c r="N371" i="44"/>
  <c r="Q371" i="44" s="1"/>
  <c r="N440" i="44"/>
  <c r="Q440" i="44" s="1"/>
  <c r="C45" i="95"/>
  <c r="C38" i="95"/>
  <c r="N78" i="44"/>
  <c r="Q78" i="44" s="1"/>
  <c r="N194" i="44"/>
  <c r="B2" i="81"/>
  <c r="C13" i="80"/>
  <c r="C12" i="81"/>
  <c r="C15" i="80"/>
  <c r="C10" i="81"/>
  <c r="N308" i="44"/>
  <c r="Q308" i="44" s="1"/>
  <c r="N108" i="44"/>
  <c r="N39" i="44"/>
  <c r="Q39" i="44" s="1"/>
  <c r="N479" i="44"/>
  <c r="Q479" i="44" s="1"/>
  <c r="D5" i="95"/>
  <c r="C5" i="97"/>
  <c r="G20" i="90" s="1"/>
  <c r="N90" i="44"/>
  <c r="Q90" i="44" s="1"/>
  <c r="N224" i="44"/>
  <c r="Q224" i="44" s="1"/>
  <c r="N265" i="44"/>
  <c r="Q265" i="44" s="1"/>
  <c r="C38" i="50"/>
  <c r="N348" i="44"/>
  <c r="Q348" i="44" s="1"/>
  <c r="C37" i="50"/>
  <c r="C37" i="98"/>
  <c r="G52" i="89" s="1"/>
  <c r="C21" i="50"/>
  <c r="N149" i="44"/>
  <c r="N20" i="44"/>
  <c r="Q20" i="44" s="1"/>
  <c r="C19" i="50"/>
  <c r="D24" i="98"/>
  <c r="I39" i="89" s="1"/>
  <c r="D46" i="95"/>
  <c r="N256" i="44"/>
  <c r="D40" i="95"/>
  <c r="N464" i="44"/>
  <c r="Q464" i="44" s="1"/>
  <c r="D21" i="96"/>
  <c r="I34" i="91" s="1"/>
  <c r="C32" i="50"/>
  <c r="N25" i="44"/>
  <c r="Q25" i="44" s="1"/>
  <c r="C18" i="50"/>
  <c r="G28" i="93" s="1"/>
  <c r="N305" i="44"/>
  <c r="Q305" i="44" s="1"/>
  <c r="N101" i="44"/>
  <c r="Q101" i="44" s="1"/>
  <c r="N380" i="44"/>
  <c r="N474" i="44"/>
  <c r="Q474" i="44" s="1"/>
  <c r="C43" i="97"/>
  <c r="G58" i="90" s="1"/>
  <c r="N67" i="44"/>
  <c r="Q67" i="44" s="1"/>
  <c r="N334" i="44"/>
  <c r="D63" i="95"/>
  <c r="I46" i="92" s="1"/>
  <c r="N377" i="44"/>
  <c r="N205" i="44"/>
  <c r="Q205" i="44" s="1"/>
  <c r="N378" i="44"/>
  <c r="N220" i="44"/>
  <c r="N210" i="44"/>
  <c r="Q210" i="44" s="1"/>
  <c r="N448" i="44"/>
  <c r="N59" i="44"/>
  <c r="N258" i="44"/>
  <c r="Q258" i="44" s="1"/>
  <c r="N239" i="44"/>
  <c r="Q239" i="44" s="1"/>
  <c r="B14" i="80"/>
  <c r="C36" i="96"/>
  <c r="G43" i="91" s="1"/>
  <c r="N287" i="44"/>
  <c r="Q287" i="44" s="1"/>
  <c r="N44" i="44"/>
  <c r="Q44" i="44" s="1"/>
  <c r="D30" i="96"/>
  <c r="N485" i="44"/>
  <c r="D50" i="97"/>
  <c r="I65" i="90" s="1"/>
  <c r="N102" i="44"/>
  <c r="N80" i="44"/>
  <c r="Q80" i="44" s="1"/>
  <c r="N123" i="44"/>
  <c r="N468" i="44"/>
  <c r="Q468" i="44" s="1"/>
  <c r="N18" i="44"/>
  <c r="Q18" i="44" s="1"/>
  <c r="N111" i="44"/>
  <c r="Q111" i="44" s="1"/>
  <c r="C25" i="96"/>
  <c r="G38" i="91" s="1"/>
  <c r="N275" i="44"/>
  <c r="Q275" i="44" s="1"/>
  <c r="C45" i="96"/>
  <c r="N285" i="44"/>
  <c r="Q285" i="44" s="1"/>
  <c r="C39" i="96"/>
  <c r="N161" i="44"/>
  <c r="Q161" i="44" s="1"/>
  <c r="N332" i="44"/>
  <c r="C21" i="96"/>
  <c r="G34" i="91" s="1"/>
  <c r="D62" i="95"/>
  <c r="N404" i="44"/>
  <c r="Q404" i="44" s="1"/>
  <c r="N441" i="44"/>
  <c r="Q441" i="44" s="1"/>
  <c r="N323" i="44"/>
  <c r="N383" i="44"/>
  <c r="Q383" i="44" s="1"/>
  <c r="C44" i="50"/>
  <c r="N317" i="44"/>
  <c r="Q317" i="44" s="1"/>
  <c r="N235" i="44"/>
  <c r="Q235" i="44" s="1"/>
  <c r="N273" i="44"/>
  <c r="Q273" i="44" s="1"/>
  <c r="N313" i="44"/>
  <c r="Q313" i="44" s="1"/>
  <c r="N366" i="44"/>
  <c r="N295" i="44"/>
  <c r="D43" i="95"/>
  <c r="C4" i="95"/>
  <c r="N105" i="44"/>
  <c r="N209" i="44"/>
  <c r="N188" i="44"/>
  <c r="C26" i="95"/>
  <c r="D32" i="95"/>
  <c r="N280" i="44"/>
  <c r="N164" i="44"/>
  <c r="N158" i="44"/>
  <c r="Q158" i="44" s="1"/>
  <c r="N335" i="44"/>
  <c r="Q335" i="44" s="1"/>
  <c r="N41" i="44"/>
  <c r="Q41" i="44" s="1"/>
  <c r="N408" i="44"/>
  <c r="C45" i="97"/>
  <c r="G60" i="90" s="1"/>
  <c r="N396" i="44"/>
  <c r="Q396" i="44" s="1"/>
  <c r="D30" i="50"/>
  <c r="N344" i="44"/>
  <c r="Q344" i="44" s="1"/>
  <c r="N79" i="44"/>
  <c r="Q79" i="44" s="1"/>
  <c r="N183" i="44"/>
  <c r="Q183" i="44" s="1"/>
  <c r="N357" i="44"/>
  <c r="C33" i="50"/>
  <c r="D68" i="96"/>
  <c r="I66" i="91" s="1"/>
  <c r="D53" i="97"/>
  <c r="I68" i="90" s="1"/>
  <c r="N54" i="44"/>
  <c r="D68" i="97"/>
  <c r="I83" i="90" s="1"/>
  <c r="N24" i="44"/>
  <c r="N76" i="44"/>
  <c r="C57" i="95"/>
  <c r="C30" i="97"/>
  <c r="G45" i="90" s="1"/>
  <c r="N15" i="44"/>
  <c r="Q15" i="44" s="1"/>
  <c r="N253" i="44"/>
  <c r="N350" i="44"/>
  <c r="C32" i="96"/>
  <c r="D60" i="98"/>
  <c r="I75" i="89" s="1"/>
  <c r="C26" i="98"/>
  <c r="G41" i="89" s="1"/>
  <c r="N88" i="44"/>
  <c r="Q88" i="44" s="1"/>
  <c r="N51" i="44"/>
  <c r="Q51" i="44" s="1"/>
  <c r="N442" i="44"/>
  <c r="Q442" i="44" s="1"/>
  <c r="N61" i="44"/>
  <c r="C37" i="97"/>
  <c r="G52" i="90" s="1"/>
  <c r="B12" i="80"/>
  <c r="C11" i="80"/>
  <c r="C12" i="80"/>
  <c r="C9" i="80"/>
  <c r="N422" i="44"/>
  <c r="Q422" i="44" s="1"/>
  <c r="N430" i="44"/>
  <c r="Q430" i="44" s="1"/>
  <c r="N70" i="44"/>
  <c r="Q70" i="44" s="1"/>
  <c r="N96" i="44"/>
  <c r="Q96" i="44" s="1"/>
  <c r="N251" i="44"/>
  <c r="Q251" i="44" s="1"/>
  <c r="N491" i="44"/>
  <c r="Q491" i="44" s="1"/>
  <c r="N397" i="44"/>
  <c r="Q397" i="44" s="1"/>
  <c r="N28" i="44"/>
  <c r="Q28" i="44" s="1"/>
  <c r="N116" i="44"/>
  <c r="Q116" i="44" s="1"/>
  <c r="D39" i="95"/>
  <c r="D37" i="50"/>
  <c r="N456" i="44"/>
  <c r="Q456" i="44" s="1"/>
  <c r="N62" i="44"/>
  <c r="Q62" i="44" s="1"/>
  <c r="N193" i="44"/>
  <c r="Q193" i="44" s="1"/>
  <c r="N288" i="44"/>
  <c r="Q288" i="44" s="1"/>
  <c r="N390" i="44"/>
  <c r="Q390" i="44" s="1"/>
  <c r="N431" i="44"/>
  <c r="Q431" i="44" s="1"/>
  <c r="N165" i="44"/>
  <c r="P165" i="44"/>
  <c r="S164" i="44" s="1"/>
  <c r="U164" i="44" s="1"/>
  <c r="W164" i="44" s="1"/>
  <c r="N432" i="44"/>
  <c r="N490" i="44"/>
  <c r="N56" i="44"/>
  <c r="Q56" i="44" s="1"/>
  <c r="C47" i="96"/>
  <c r="D52" i="98"/>
  <c r="I67" i="89" s="1"/>
  <c r="N259" i="44"/>
  <c r="Q259" i="44" s="1"/>
  <c r="C35" i="95"/>
  <c r="N95" i="44"/>
  <c r="Q95" i="44" s="1"/>
  <c r="D41" i="95"/>
  <c r="N176" i="44"/>
  <c r="N127" i="44"/>
  <c r="N289" i="44"/>
  <c r="Q289" i="44" s="1"/>
  <c r="D3" i="97"/>
  <c r="I18" i="90" s="1"/>
  <c r="N484" i="44"/>
  <c r="Q484" i="44" s="1"/>
  <c r="D44" i="95"/>
  <c r="N337" i="44"/>
  <c r="Q337" i="44" s="1"/>
  <c r="N5" i="44"/>
  <c r="N370" i="44"/>
  <c r="C62" i="97"/>
  <c r="G77" i="90" s="1"/>
  <c r="N103" i="44"/>
  <c r="Q103" i="44" s="1"/>
  <c r="N136" i="44"/>
  <c r="Q136" i="44" s="1"/>
  <c r="N419" i="44"/>
  <c r="Q419" i="44" s="1"/>
  <c r="C25" i="98"/>
  <c r="G40" i="89" s="1"/>
  <c r="C55" i="50"/>
  <c r="N389" i="44"/>
  <c r="D40" i="50"/>
  <c r="N43" i="44"/>
  <c r="C62" i="50"/>
  <c r="N14" i="44"/>
  <c r="C31" i="95"/>
  <c r="C30" i="96"/>
  <c r="C47" i="50"/>
  <c r="D22" i="98"/>
  <c r="I37" i="89" s="1"/>
  <c r="C41" i="98"/>
  <c r="G56" i="89" s="1"/>
  <c r="C39" i="95"/>
  <c r="N223" i="44"/>
  <c r="Q223" i="44" s="1"/>
  <c r="N452" i="44"/>
  <c r="Q452" i="44" s="1"/>
  <c r="N434" i="44"/>
  <c r="N340" i="44"/>
  <c r="Q340" i="44" s="1"/>
  <c r="N73" i="44"/>
  <c r="Q73" i="44" s="1"/>
  <c r="N245" i="44"/>
  <c r="Q245" i="44" s="1"/>
  <c r="D49" i="98"/>
  <c r="I64" i="89" s="1"/>
  <c r="C42" i="95"/>
  <c r="N352" i="44"/>
  <c r="Q352" i="44" s="1"/>
  <c r="N172" i="44"/>
  <c r="Q172" i="44" s="1"/>
  <c r="N296" i="44"/>
  <c r="D35" i="95"/>
  <c r="D43" i="50"/>
  <c r="N262" i="44"/>
  <c r="C21" i="95"/>
  <c r="N177" i="44"/>
  <c r="D42" i="50"/>
  <c r="N16" i="44"/>
  <c r="Q16" i="44" s="1"/>
  <c r="C22" i="96"/>
  <c r="G35" i="91" s="1"/>
  <c r="N418" i="44"/>
  <c r="Q418" i="44" s="1"/>
  <c r="N6" i="44"/>
  <c r="N81" i="44"/>
  <c r="Q81" i="44" s="1"/>
  <c r="N361" i="44"/>
  <c r="Q361" i="44" s="1"/>
  <c r="B16" i="80"/>
  <c r="N412" i="44"/>
  <c r="Q412" i="44" s="1"/>
  <c r="N481" i="44"/>
  <c r="Q481" i="44" s="1"/>
  <c r="N22" i="44"/>
  <c r="D54" i="95"/>
  <c r="I39" i="92" s="1"/>
  <c r="C3" i="50"/>
  <c r="G17" i="93" s="1"/>
  <c r="N277" i="44"/>
  <c r="C29" i="96"/>
  <c r="N187" i="44"/>
  <c r="Q187" i="44" s="1"/>
  <c r="D46" i="96"/>
  <c r="N225" i="44"/>
  <c r="Q225" i="44" s="1"/>
  <c r="C31" i="97"/>
  <c r="G46" i="90" s="1"/>
  <c r="D56" i="50"/>
  <c r="I36" i="93" s="1"/>
  <c r="N134" i="44"/>
  <c r="N257" i="44"/>
  <c r="Q257" i="44" s="1"/>
  <c r="C16" i="95"/>
  <c r="G28" i="92" s="1"/>
  <c r="N145" i="44"/>
  <c r="Q145" i="44" s="1"/>
  <c r="N413" i="44"/>
  <c r="Q413" i="44" s="1"/>
  <c r="C5" i="96"/>
  <c r="N375" i="44"/>
  <c r="Q375" i="44" s="1"/>
  <c r="N137" i="44"/>
  <c r="Q137" i="44" s="1"/>
  <c r="C44" i="95"/>
  <c r="N74" i="44"/>
  <c r="Q74" i="44" s="1"/>
  <c r="D4" i="50"/>
  <c r="N409" i="44"/>
  <c r="Q409" i="44" s="1"/>
  <c r="N363" i="44"/>
  <c r="Q363" i="44" s="1"/>
  <c r="D28" i="95"/>
  <c r="N439" i="44"/>
  <c r="Q439" i="44" s="1"/>
  <c r="N382" i="44"/>
  <c r="Q382" i="44" s="1"/>
  <c r="D24" i="50"/>
  <c r="N416" i="44"/>
  <c r="C40" i="97"/>
  <c r="G55" i="90" s="1"/>
  <c r="N9" i="44"/>
  <c r="N118" i="44"/>
  <c r="N427" i="44"/>
  <c r="Q427" i="44" s="1"/>
  <c r="C41" i="95"/>
  <c r="N219" i="44"/>
  <c r="Q219" i="44" s="1"/>
  <c r="C62" i="98"/>
  <c r="G77" i="89" s="1"/>
  <c r="N121" i="44"/>
  <c r="Q121" i="44" s="1"/>
  <c r="C37" i="95"/>
  <c r="N314" i="44"/>
  <c r="Q314" i="44" s="1"/>
  <c r="N492" i="44"/>
  <c r="D7" i="50"/>
  <c r="I19" i="93" s="1"/>
  <c r="B11" i="81"/>
  <c r="D26" i="95"/>
  <c r="B8" i="81"/>
  <c r="B12" i="81"/>
  <c r="B7" i="80"/>
  <c r="C3" i="81"/>
  <c r="D68" i="95"/>
  <c r="I51" i="92" s="1"/>
  <c r="C43" i="95"/>
  <c r="D44" i="50"/>
  <c r="N173" i="44"/>
  <c r="Q173" i="44" s="1"/>
  <c r="N84" i="44"/>
  <c r="E14" i="45" s="1"/>
  <c r="D6" i="95"/>
  <c r="I19" i="92" s="1"/>
  <c r="N398" i="44"/>
  <c r="Q398" i="44" s="1"/>
  <c r="N212" i="44"/>
  <c r="N483" i="44"/>
  <c r="Q483" i="44" s="1"/>
  <c r="N107" i="44"/>
  <c r="D36" i="95"/>
  <c r="C45" i="98"/>
  <c r="G60" i="89" s="1"/>
  <c r="N303" i="44"/>
  <c r="Q303" i="44" s="1"/>
  <c r="C69" i="98"/>
  <c r="G84" i="89" s="1"/>
  <c r="N400" i="44"/>
  <c r="Q400" i="44" s="1"/>
  <c r="N34" i="44"/>
  <c r="N333" i="44"/>
  <c r="N231" i="44"/>
  <c r="Q231" i="44" s="1"/>
  <c r="C42" i="96"/>
  <c r="N160" i="44"/>
  <c r="Q160" i="44" s="1"/>
  <c r="D64" i="98"/>
  <c r="I79" i="89" s="1"/>
  <c r="D63" i="50"/>
  <c r="I41" i="93" s="1"/>
  <c r="N341" i="44"/>
  <c r="N393" i="44"/>
  <c r="D55" i="97"/>
  <c r="I70" i="90" s="1"/>
  <c r="N213" i="44"/>
  <c r="Q213" i="44" s="1"/>
  <c r="N8" i="44"/>
  <c r="C29" i="97"/>
  <c r="G44" i="90" s="1"/>
  <c r="N369" i="44"/>
  <c r="Q369" i="44" s="1"/>
  <c r="D52" i="97"/>
  <c r="I67" i="90" s="1"/>
  <c r="D16" i="50"/>
  <c r="D33" i="95"/>
  <c r="N124" i="44"/>
  <c r="Q124" i="44" s="1"/>
  <c r="C40" i="98"/>
  <c r="G55" i="89" s="1"/>
  <c r="N316" i="44"/>
  <c r="Q316" i="44" s="1"/>
  <c r="N186" i="44"/>
  <c r="Q186" i="44" s="1"/>
  <c r="D50" i="98"/>
  <c r="I65" i="89" s="1"/>
  <c r="N367" i="44"/>
  <c r="Q367" i="44" s="1"/>
  <c r="C10" i="96"/>
  <c r="B16" i="81"/>
  <c r="C33" i="97"/>
  <c r="G48" i="90" s="1"/>
  <c r="N227" i="44"/>
  <c r="Q227" i="44" s="1"/>
  <c r="C32" i="98"/>
  <c r="G47" i="89" s="1"/>
  <c r="N178" i="44"/>
  <c r="Q178" i="44" s="1"/>
  <c r="N450" i="44"/>
  <c r="B13" i="81"/>
  <c r="C25" i="97"/>
  <c r="G40" i="90" s="1"/>
  <c r="N283" i="44"/>
  <c r="N151" i="44"/>
  <c r="Q151" i="44" s="1"/>
  <c r="N242" i="44"/>
  <c r="Q242" i="44" s="1"/>
  <c r="N94" i="44"/>
  <c r="Q94" i="44" s="1"/>
  <c r="C28" i="95"/>
  <c r="C20" i="50"/>
  <c r="N294" i="44"/>
  <c r="C36" i="97"/>
  <c r="G51" i="90" s="1"/>
  <c r="C31" i="96"/>
  <c r="N48" i="44"/>
  <c r="C4" i="50"/>
  <c r="C36" i="50"/>
  <c r="C33" i="98"/>
  <c r="G48" i="89" s="1"/>
  <c r="C57" i="50"/>
  <c r="N489" i="44"/>
  <c r="N120" i="44"/>
  <c r="Q120" i="44" s="1"/>
  <c r="N230" i="44"/>
  <c r="Q230" i="44" s="1"/>
  <c r="N276" i="44"/>
  <c r="Q276" i="44" s="1"/>
  <c r="N345" i="44"/>
  <c r="Q345" i="44" s="1"/>
  <c r="N53" i="44"/>
  <c r="Q53" i="44" s="1"/>
  <c r="N10" i="44"/>
  <c r="N437" i="44"/>
  <c r="Q437" i="44" s="1"/>
  <c r="N119" i="44"/>
  <c r="D22" i="95"/>
  <c r="C27" i="98"/>
  <c r="G42" i="89" s="1"/>
  <c r="N423" i="44"/>
  <c r="Q423" i="44" s="1"/>
  <c r="C35" i="96"/>
  <c r="G42" i="91" s="1"/>
  <c r="D20" i="50"/>
  <c r="D10" i="98"/>
  <c r="I25" i="89" s="1"/>
  <c r="N267" i="44"/>
  <c r="Q267" i="44" s="1"/>
  <c r="C42" i="97"/>
  <c r="G57" i="90" s="1"/>
  <c r="N133" i="44"/>
  <c r="C44" i="98"/>
  <c r="G59" i="89" s="1"/>
  <c r="D16" i="98"/>
  <c r="I31" i="89" s="1"/>
  <c r="N175" i="44"/>
  <c r="Q175" i="44" s="1"/>
  <c r="N13" i="44"/>
  <c r="Q13" i="44" s="1"/>
  <c r="C17" i="50"/>
  <c r="G27" i="93" s="1"/>
  <c r="N52" i="44"/>
  <c r="Q52" i="44" s="1"/>
  <c r="N421" i="44"/>
  <c r="N302" i="44"/>
  <c r="Q302" i="44" s="1"/>
  <c r="N153" i="44"/>
  <c r="Q153" i="44" s="1"/>
  <c r="N243" i="44"/>
  <c r="Q243" i="44" s="1"/>
  <c r="D19" i="50"/>
  <c r="N368" i="44"/>
  <c r="Q368" i="44" s="1"/>
  <c r="N472" i="44"/>
  <c r="Q472" i="44" s="1"/>
  <c r="N114" i="44"/>
  <c r="C29" i="95"/>
  <c r="N92" i="44"/>
  <c r="D6" i="98"/>
  <c r="I21" i="89" s="1"/>
  <c r="N75" i="44"/>
  <c r="Q75" i="44" s="1"/>
  <c r="N174" i="44"/>
  <c r="Q174" i="44" s="1"/>
  <c r="N40" i="44"/>
  <c r="Q40" i="44" s="1"/>
  <c r="C2" i="50"/>
  <c r="N129" i="44"/>
  <c r="Q129" i="44" s="1"/>
  <c r="D43" i="96"/>
  <c r="N362" i="44"/>
  <c r="D52" i="96"/>
  <c r="I51" i="91" s="1"/>
  <c r="N403" i="44"/>
  <c r="Q403" i="44" s="1"/>
  <c r="B14" i="81"/>
  <c r="C33" i="95"/>
  <c r="N458" i="44"/>
  <c r="Q458" i="44" s="1"/>
  <c r="N226" i="44"/>
  <c r="C46" i="98"/>
  <c r="G61" i="89" s="1"/>
  <c r="N339" i="44"/>
  <c r="Q339" i="44" s="1"/>
  <c r="D36" i="50"/>
  <c r="B9" i="81"/>
  <c r="C10" i="80"/>
  <c r="C9" i="81"/>
  <c r="N7" i="44"/>
  <c r="N171" i="44"/>
  <c r="Q171" i="44" s="1"/>
  <c r="D5" i="50"/>
  <c r="N443" i="44"/>
  <c r="Q443" i="44" s="1"/>
  <c r="D54" i="98"/>
  <c r="I69" i="89" s="1"/>
  <c r="N471" i="44"/>
  <c r="Q471" i="44" s="1"/>
  <c r="N122" i="44"/>
  <c r="Q122" i="44" s="1"/>
  <c r="P122" i="44"/>
  <c r="S119" i="44" s="1"/>
  <c r="U119" i="44" s="1"/>
  <c r="W119" i="44" s="1"/>
  <c r="N451" i="44"/>
  <c r="Q451" i="44" s="1"/>
  <c r="C34" i="96"/>
  <c r="G41" i="91" s="1"/>
  <c r="D33" i="50"/>
  <c r="N33" i="44"/>
  <c r="N417" i="44"/>
  <c r="N320" i="44"/>
  <c r="Q320" i="44" s="1"/>
  <c r="N388" i="44"/>
  <c r="Q388" i="44" s="1"/>
  <c r="D34" i="50"/>
  <c r="C38" i="97"/>
  <c r="G53" i="90" s="1"/>
  <c r="C62" i="95"/>
  <c r="D6" i="50"/>
  <c r="I18" i="93" s="1"/>
  <c r="N457" i="44"/>
  <c r="Q457" i="44" s="1"/>
  <c r="N236" i="44"/>
  <c r="Q236" i="44" s="1"/>
  <c r="N46" i="44"/>
  <c r="N139" i="44"/>
  <c r="Q139" i="44" s="1"/>
  <c r="N271" i="44"/>
  <c r="N381" i="44"/>
  <c r="Q381" i="44" s="1"/>
  <c r="C11" i="95"/>
  <c r="G23" i="92" s="1"/>
  <c r="N23" i="44"/>
  <c r="Q23" i="44" s="1"/>
  <c r="N376" i="44"/>
  <c r="C28" i="96"/>
  <c r="D31" i="96"/>
  <c r="N322" i="44"/>
  <c r="Q322" i="44" s="1"/>
  <c r="N325" i="44"/>
  <c r="Q325" i="44" s="1"/>
  <c r="N324" i="44"/>
  <c r="Q324" i="44" s="1"/>
  <c r="N269" i="44"/>
  <c r="Q269" i="44" s="1"/>
  <c r="D21" i="95"/>
  <c r="N11" i="44"/>
  <c r="Q11" i="44" s="1"/>
  <c r="P11" i="44"/>
  <c r="S10" i="44" s="1"/>
  <c r="U10" i="44" s="1"/>
  <c r="W10" i="44" s="1"/>
  <c r="N372" i="44"/>
  <c r="Q372" i="44" s="1"/>
  <c r="N300" i="44"/>
  <c r="Q300" i="44" s="1"/>
  <c r="N45" i="44"/>
  <c r="Q45" i="44" s="1"/>
  <c r="D21" i="50"/>
  <c r="C69" i="96"/>
  <c r="G67" i="91" s="1"/>
  <c r="N132" i="44"/>
  <c r="Q132" i="44" s="1"/>
  <c r="N482" i="44"/>
  <c r="Q482" i="44" s="1"/>
  <c r="N298" i="44"/>
  <c r="C41" i="97"/>
  <c r="G56" i="90" s="1"/>
  <c r="N21" i="44"/>
  <c r="Q21" i="44" s="1"/>
  <c r="N82" i="44"/>
  <c r="Q82" i="44" s="1"/>
  <c r="N89" i="44"/>
  <c r="Q89" i="44" s="1"/>
  <c r="D28" i="96"/>
  <c r="N385" i="44"/>
  <c r="N49" i="44"/>
  <c r="Q49" i="44" s="1"/>
  <c r="N27" i="44"/>
  <c r="D22" i="96"/>
  <c r="I35" i="91" s="1"/>
  <c r="N343" i="44"/>
  <c r="N426" i="44"/>
  <c r="Q426" i="44" s="1"/>
  <c r="D60" i="96"/>
  <c r="I59" i="91" s="1"/>
  <c r="N261" i="44"/>
  <c r="Q261" i="44" s="1"/>
  <c r="B11" i="80"/>
  <c r="N405" i="44"/>
  <c r="Q405" i="44" s="1"/>
  <c r="N91" i="44"/>
  <c r="Q91" i="44" s="1"/>
  <c r="N395" i="44"/>
  <c r="N217" i="44"/>
  <c r="Q217" i="44" s="1"/>
  <c r="D23" i="50"/>
  <c r="N233" i="44"/>
  <c r="N438" i="44"/>
  <c r="Q438" i="44" s="1"/>
  <c r="N365" i="44"/>
  <c r="C22" i="95"/>
  <c r="N374" i="44"/>
  <c r="N279" i="44"/>
  <c r="Q279" i="44" s="1"/>
  <c r="N312" i="44"/>
  <c r="N156" i="44"/>
  <c r="Q156" i="44" s="1"/>
  <c r="N318" i="44"/>
  <c r="Q318" i="44" s="1"/>
  <c r="N167" i="44"/>
  <c r="Q167" i="44" s="1"/>
  <c r="N64" i="44"/>
  <c r="Q64" i="44" s="1"/>
  <c r="C22" i="50"/>
  <c r="D18" i="96"/>
  <c r="I31" i="91" s="1"/>
  <c r="C27" i="97"/>
  <c r="G42" i="90" s="1"/>
  <c r="N327" i="44"/>
  <c r="Q327" i="44" s="1"/>
  <c r="D3" i="98"/>
  <c r="I18" i="89" s="1"/>
  <c r="N402" i="44"/>
  <c r="Q402" i="44" s="1"/>
  <c r="N342" i="44"/>
  <c r="D27" i="50"/>
  <c r="N196" i="44"/>
  <c r="Q196" i="44" s="1"/>
  <c r="N42" i="44"/>
  <c r="Q42" i="44" s="1"/>
  <c r="C45" i="50"/>
  <c r="D2" i="98"/>
  <c r="I17" i="89" s="1"/>
  <c r="N99" i="44"/>
  <c r="B13" i="80"/>
  <c r="D31" i="95"/>
  <c r="N126" i="44"/>
  <c r="Q126" i="44" s="1"/>
  <c r="N358" i="44"/>
  <c r="N211" i="44"/>
  <c r="Q211" i="44" s="1"/>
  <c r="N154" i="44"/>
  <c r="N310" i="44"/>
  <c r="Q310" i="44" s="1"/>
  <c r="P310" i="44"/>
  <c r="S306" i="44" s="1"/>
  <c r="U306" i="44" s="1"/>
  <c r="N455" i="44"/>
  <c r="C24" i="95"/>
  <c r="D47" i="96"/>
  <c r="D53" i="98"/>
  <c r="I68" i="89" s="1"/>
  <c r="N168" i="44"/>
  <c r="N407" i="44"/>
  <c r="Q407" i="44" s="1"/>
  <c r="N447" i="44"/>
  <c r="I77" i="49" l="1"/>
  <c r="W290" i="44"/>
  <c r="H23" i="48"/>
  <c r="Q386" i="44"/>
  <c r="E68" i="45"/>
  <c r="Y5" i="44"/>
  <c r="I40" i="45"/>
  <c r="Q328" i="44"/>
  <c r="I62" i="46"/>
  <c r="I41" i="46"/>
  <c r="E13" i="45"/>
  <c r="E13" i="46"/>
  <c r="E68" i="46"/>
  <c r="H82" i="46"/>
  <c r="I41" i="45"/>
  <c r="E83" i="49"/>
  <c r="E83" i="47"/>
  <c r="E83" i="48"/>
  <c r="Q447" i="44"/>
  <c r="I83" i="46"/>
  <c r="I83" i="45"/>
  <c r="Q168" i="44"/>
  <c r="I32" i="46"/>
  <c r="Q455" i="44"/>
  <c r="E85" i="45"/>
  <c r="E85" i="46"/>
  <c r="E85" i="47"/>
  <c r="E85" i="49"/>
  <c r="E85" i="48"/>
  <c r="Q154" i="44"/>
  <c r="H29" i="45" s="1"/>
  <c r="I29" i="45"/>
  <c r="Q358" i="44"/>
  <c r="I72" i="46"/>
  <c r="E18" i="47"/>
  <c r="E18" i="48"/>
  <c r="Q99" i="44"/>
  <c r="E18" i="49"/>
  <c r="E18" i="46"/>
  <c r="E18" i="45"/>
  <c r="Q342" i="44"/>
  <c r="I70" i="47"/>
  <c r="Q312" i="44"/>
  <c r="H66" i="47" s="1"/>
  <c r="I66" i="47"/>
  <c r="E73" i="47"/>
  <c r="Q374" i="44"/>
  <c r="D73" i="47" s="1"/>
  <c r="Q365" i="44"/>
  <c r="E73" i="46"/>
  <c r="I73" i="47"/>
  <c r="E73" i="45"/>
  <c r="I48" i="45"/>
  <c r="I48" i="46"/>
  <c r="Q233" i="44"/>
  <c r="I48" i="47"/>
  <c r="I78" i="45"/>
  <c r="I78" i="47"/>
  <c r="Q395" i="44"/>
  <c r="I78" i="49"/>
  <c r="I78" i="46"/>
  <c r="Q343" i="44"/>
  <c r="H70" i="46" s="1"/>
  <c r="I70" i="46"/>
  <c r="Q27" i="44"/>
  <c r="E8" i="48"/>
  <c r="E8" i="47"/>
  <c r="E8" i="49"/>
  <c r="E8" i="45"/>
  <c r="E8" i="46"/>
  <c r="Q385" i="44"/>
  <c r="E77" i="48"/>
  <c r="E77" i="47"/>
  <c r="E77" i="46"/>
  <c r="E77" i="49"/>
  <c r="E77" i="45"/>
  <c r="Q298" i="44"/>
  <c r="E65" i="47"/>
  <c r="E65" i="49"/>
  <c r="E65" i="48"/>
  <c r="E65" i="45"/>
  <c r="E65" i="46"/>
  <c r="E74" i="49"/>
  <c r="E74" i="48"/>
  <c r="E74" i="45"/>
  <c r="Q376" i="44"/>
  <c r="E74" i="47"/>
  <c r="E74" i="46"/>
  <c r="Q271" i="44"/>
  <c r="I56" i="45"/>
  <c r="I56" i="46"/>
  <c r="Q46" i="44"/>
  <c r="I11" i="48"/>
  <c r="Q417" i="44"/>
  <c r="E80" i="48"/>
  <c r="E80" i="47"/>
  <c r="E80" i="49"/>
  <c r="I10" i="48"/>
  <c r="Q33" i="44"/>
  <c r="E10" i="45"/>
  <c r="E10" i="46"/>
  <c r="I10" i="47"/>
  <c r="I3" i="46"/>
  <c r="Q7" i="44"/>
  <c r="H3" i="46" s="1"/>
  <c r="E46" i="46"/>
  <c r="Q226" i="44"/>
  <c r="E46" i="45"/>
  <c r="I46" i="47"/>
  <c r="I72" i="45"/>
  <c r="Q362" i="44"/>
  <c r="H72" i="45" s="1"/>
  <c r="I16" i="48"/>
  <c r="I16" i="49"/>
  <c r="I16" i="47"/>
  <c r="I16" i="45"/>
  <c r="I16" i="46"/>
  <c r="Q92" i="44"/>
  <c r="E21" i="47"/>
  <c r="E21" i="45"/>
  <c r="Q114" i="44"/>
  <c r="I21" i="48"/>
  <c r="E21" i="46"/>
  <c r="Q421" i="44"/>
  <c r="H80" i="46" s="1"/>
  <c r="I80" i="46"/>
  <c r="I26" i="48"/>
  <c r="E26" i="46"/>
  <c r="E26" i="45"/>
  <c r="I26" i="47"/>
  <c r="Q133" i="44"/>
  <c r="E23" i="45"/>
  <c r="Q119" i="44"/>
  <c r="I23" i="49"/>
  <c r="E23" i="46"/>
  <c r="E23" i="48"/>
  <c r="E23" i="47"/>
  <c r="Q10" i="44"/>
  <c r="E6" i="45"/>
  <c r="E6" i="46"/>
  <c r="I6" i="47"/>
  <c r="I89" i="47"/>
  <c r="Q489" i="44"/>
  <c r="I89" i="45"/>
  <c r="I89" i="46"/>
  <c r="Q48" i="44"/>
  <c r="I11" i="46"/>
  <c r="I11" i="45"/>
  <c r="I11" i="47"/>
  <c r="Q294" i="44"/>
  <c r="I64" i="48"/>
  <c r="I64" i="47"/>
  <c r="Q283" i="44"/>
  <c r="I60" i="45"/>
  <c r="I60" i="46"/>
  <c r="Q450" i="44"/>
  <c r="H83" i="47" s="1"/>
  <c r="I83" i="47"/>
  <c r="Q8" i="44"/>
  <c r="I4" i="47"/>
  <c r="I4" i="48"/>
  <c r="E4" i="46"/>
  <c r="Q393" i="44"/>
  <c r="E78" i="49"/>
  <c r="E78" i="45"/>
  <c r="E78" i="48"/>
  <c r="E78" i="47"/>
  <c r="E78" i="46"/>
  <c r="I70" i="49"/>
  <c r="Q341" i="44"/>
  <c r="E70" i="46"/>
  <c r="E70" i="48"/>
  <c r="E70" i="45"/>
  <c r="E70" i="47"/>
  <c r="Q333" i="44"/>
  <c r="I69" i="49"/>
  <c r="E69" i="48"/>
  <c r="E69" i="47"/>
  <c r="Q34" i="44"/>
  <c r="D10" i="47" s="1"/>
  <c r="E10" i="47"/>
  <c r="Q107" i="44"/>
  <c r="E20" i="48"/>
  <c r="E20" i="47"/>
  <c r="E20" i="45"/>
  <c r="I20" i="49"/>
  <c r="E20" i="46"/>
  <c r="Q212" i="44"/>
  <c r="I44" i="46"/>
  <c r="I44" i="45"/>
  <c r="Q84" i="44"/>
  <c r="H14" i="46" s="1"/>
  <c r="I14" i="46"/>
  <c r="I90" i="48"/>
  <c r="I90" i="46"/>
  <c r="I90" i="49"/>
  <c r="Q492" i="44"/>
  <c r="I90" i="47"/>
  <c r="I90" i="45"/>
  <c r="I21" i="47"/>
  <c r="Q118" i="44"/>
  <c r="H21" i="47" s="1"/>
  <c r="E4" i="45"/>
  <c r="I4" i="49"/>
  <c r="Q9" i="44"/>
  <c r="E4" i="48"/>
  <c r="E4" i="47"/>
  <c r="Q416" i="44"/>
  <c r="E80" i="46"/>
  <c r="E80" i="45"/>
  <c r="I80" i="47"/>
  <c r="Q134" i="44"/>
  <c r="E26" i="47"/>
  <c r="I58" i="46"/>
  <c r="Q277" i="44"/>
  <c r="I58" i="45"/>
  <c r="I7" i="45"/>
  <c r="Q22" i="44"/>
  <c r="I7" i="46"/>
  <c r="E3" i="46"/>
  <c r="Q6" i="44"/>
  <c r="H3" i="47" s="1"/>
  <c r="I3" i="47"/>
  <c r="Q177" i="44"/>
  <c r="H33" i="46" s="1"/>
  <c r="I33" i="46"/>
  <c r="Q262" i="44"/>
  <c r="I54" i="45"/>
  <c r="I54" i="46"/>
  <c r="I64" i="45"/>
  <c r="Q296" i="44"/>
  <c r="I64" i="46"/>
  <c r="Q434" i="44"/>
  <c r="I82" i="48"/>
  <c r="Q14" i="44"/>
  <c r="H6" i="45" s="1"/>
  <c r="I6" i="45"/>
  <c r="Q43" i="44"/>
  <c r="E11" i="46"/>
  <c r="E11" i="47"/>
  <c r="E11" i="49"/>
  <c r="E11" i="48"/>
  <c r="E11" i="45"/>
  <c r="Q389" i="44"/>
  <c r="H77" i="46" s="1"/>
  <c r="I77" i="46"/>
  <c r="Q370" i="44"/>
  <c r="H73" i="45" s="1"/>
  <c r="I73" i="45"/>
  <c r="Q5" i="44"/>
  <c r="E3" i="45"/>
  <c r="E3" i="47"/>
  <c r="I3" i="48"/>
  <c r="Q127" i="44"/>
  <c r="E24" i="47"/>
  <c r="E24" i="48"/>
  <c r="E24" i="46"/>
  <c r="I24" i="49"/>
  <c r="E24" i="45"/>
  <c r="I33" i="47"/>
  <c r="Q176" i="44"/>
  <c r="H33" i="47" s="1"/>
  <c r="E90" i="48"/>
  <c r="E90" i="47"/>
  <c r="E90" i="46"/>
  <c r="Q490" i="44"/>
  <c r="E90" i="45"/>
  <c r="E90" i="49"/>
  <c r="Q432" i="44"/>
  <c r="E82" i="48"/>
  <c r="E82" i="49"/>
  <c r="E82" i="46"/>
  <c r="E82" i="45"/>
  <c r="E82" i="47"/>
  <c r="E32" i="47"/>
  <c r="Q165" i="44"/>
  <c r="D32" i="47" s="1"/>
  <c r="Q61" i="44"/>
  <c r="I12" i="49"/>
  <c r="Q350" i="44"/>
  <c r="E71" i="46"/>
  <c r="I71" i="48"/>
  <c r="E71" i="45"/>
  <c r="E71" i="47"/>
  <c r="I51" i="45"/>
  <c r="Q253" i="44"/>
  <c r="I51" i="46"/>
  <c r="I13" i="46"/>
  <c r="Q76" i="44"/>
  <c r="H13" i="46" s="1"/>
  <c r="E7" i="45"/>
  <c r="Q24" i="44"/>
  <c r="D7" i="45" s="1"/>
  <c r="Q54" i="44"/>
  <c r="H11" i="49" s="1"/>
  <c r="I11" i="49"/>
  <c r="Q357" i="44"/>
  <c r="E72" i="49"/>
  <c r="E72" i="48"/>
  <c r="Q408" i="44"/>
  <c r="I79" i="45"/>
  <c r="I79" i="46"/>
  <c r="E32" i="45"/>
  <c r="E32" i="46"/>
  <c r="I32" i="47"/>
  <c r="Q164" i="44"/>
  <c r="Q280" i="44"/>
  <c r="I59" i="45"/>
  <c r="I59" i="46"/>
  <c r="I37" i="47"/>
  <c r="I37" i="46"/>
  <c r="Q188" i="44"/>
  <c r="I37" i="45"/>
  <c r="I43" i="45"/>
  <c r="I43" i="46"/>
  <c r="Q209" i="44"/>
  <c r="I18" i="48"/>
  <c r="Q105" i="44"/>
  <c r="I64" i="49"/>
  <c r="Q295" i="44"/>
  <c r="H64" i="49" s="1"/>
  <c r="Q366" i="44"/>
  <c r="H73" i="46" s="1"/>
  <c r="I73" i="46"/>
  <c r="I67" i="47"/>
  <c r="Q323" i="44"/>
  <c r="H67" i="47" s="1"/>
  <c r="E69" i="46"/>
  <c r="E69" i="45"/>
  <c r="Q332" i="44"/>
  <c r="I69" i="47"/>
  <c r="Q123" i="44"/>
  <c r="I23" i="45"/>
  <c r="I23" i="46"/>
  <c r="I23" i="47"/>
  <c r="Q102" i="44"/>
  <c r="I18" i="46"/>
  <c r="I87" i="45"/>
  <c r="Q485" i="44"/>
  <c r="I87" i="48"/>
  <c r="I87" i="47"/>
  <c r="I87" i="46"/>
  <c r="I87" i="49"/>
  <c r="Q59" i="44"/>
  <c r="I12" i="48"/>
  <c r="I12" i="47"/>
  <c r="Q448" i="44"/>
  <c r="I83" i="49"/>
  <c r="I83" i="48"/>
  <c r="I45" i="46"/>
  <c r="Q220" i="44"/>
  <c r="H45" i="46" s="1"/>
  <c r="Q378" i="44"/>
  <c r="I74" i="46"/>
  <c r="I74" i="45"/>
  <c r="I74" i="47"/>
  <c r="I74" i="49"/>
  <c r="I74" i="48"/>
  <c r="Q377" i="44"/>
  <c r="Q334" i="44"/>
  <c r="H69" i="48" s="1"/>
  <c r="I69" i="48"/>
  <c r="Q380" i="44"/>
  <c r="D76" i="48" s="1"/>
  <c r="E76" i="47"/>
  <c r="E76" i="48"/>
  <c r="E76" i="45"/>
  <c r="E76" i="46"/>
  <c r="E76" i="49"/>
  <c r="Q256" i="44"/>
  <c r="I52" i="46"/>
  <c r="I52" i="45"/>
  <c r="I52" i="47"/>
  <c r="Q149" i="44"/>
  <c r="I29" i="46"/>
  <c r="E29" i="45"/>
  <c r="Q108" i="44"/>
  <c r="D20" i="49" s="1"/>
  <c r="E20" i="49"/>
  <c r="Q194" i="44"/>
  <c r="I39" i="46"/>
  <c r="I39" i="45"/>
  <c r="E83" i="45"/>
  <c r="E83" i="46"/>
  <c r="Q449" i="44"/>
  <c r="Q155" i="44"/>
  <c r="E30" i="45"/>
  <c r="I30" i="46"/>
  <c r="E27" i="47"/>
  <c r="E27" i="45"/>
  <c r="E27" i="46"/>
  <c r="E27" i="48"/>
  <c r="Q140" i="44"/>
  <c r="Q85" i="44"/>
  <c r="E16" i="47"/>
  <c r="E16" i="46"/>
  <c r="E16" i="45"/>
  <c r="E16" i="49"/>
  <c r="E16" i="48"/>
  <c r="E69" i="49"/>
  <c r="Q338" i="44"/>
  <c r="D69" i="49" s="1"/>
  <c r="I49" i="45"/>
  <c r="I49" i="46"/>
  <c r="Q238" i="44"/>
  <c r="I49" i="47"/>
  <c r="I17" i="45"/>
  <c r="I17" i="49"/>
  <c r="I17" i="48"/>
  <c r="Q98" i="44"/>
  <c r="I17" i="47"/>
  <c r="I35" i="45"/>
  <c r="Q180" i="44"/>
  <c r="I35" i="47"/>
  <c r="I35" i="46"/>
  <c r="Q394" i="44"/>
  <c r="H78" i="48" s="1"/>
  <c r="I78" i="48"/>
  <c r="Q319" i="44"/>
  <c r="H67" i="48" s="1"/>
  <c r="I67" i="48"/>
  <c r="E89" i="49"/>
  <c r="Q487" i="44"/>
  <c r="E89" i="48"/>
  <c r="E89" i="47"/>
  <c r="E89" i="45"/>
  <c r="E89" i="46"/>
  <c r="E45" i="46"/>
  <c r="E45" i="45"/>
  <c r="Q216" i="44"/>
  <c r="I45" i="47"/>
  <c r="Q135" i="44"/>
  <c r="D26" i="48" s="1"/>
  <c r="E26" i="48"/>
  <c r="Q477" i="44"/>
  <c r="E86" i="46"/>
  <c r="E86" i="48"/>
  <c r="E86" i="47"/>
  <c r="E86" i="45"/>
  <c r="E86" i="49"/>
  <c r="Q425" i="44"/>
  <c r="H81" i="46" s="1"/>
  <c r="I81" i="46"/>
  <c r="I91" i="46"/>
  <c r="I91" i="48"/>
  <c r="I91" i="49"/>
  <c r="Q495" i="44"/>
  <c r="I91" i="45"/>
  <c r="I91" i="47"/>
  <c r="Q144" i="44"/>
  <c r="H27" i="47" s="1"/>
  <c r="J27" i="47" s="1"/>
  <c r="I27" i="47"/>
  <c r="Q306" i="44"/>
  <c r="E66" i="46"/>
  <c r="E66" i="48"/>
  <c r="E66" i="49"/>
  <c r="E66" i="47"/>
  <c r="E66" i="45"/>
  <c r="I76" i="46"/>
  <c r="Q384" i="44"/>
  <c r="I76" i="49"/>
  <c r="I76" i="45"/>
  <c r="I76" i="47"/>
  <c r="I76" i="48"/>
  <c r="Q204" i="44"/>
  <c r="I42" i="46"/>
  <c r="I42" i="45"/>
  <c r="Q55" i="44"/>
  <c r="E12" i="45"/>
  <c r="E12" i="46"/>
  <c r="E12" i="47"/>
  <c r="E12" i="49"/>
  <c r="E12" i="48"/>
  <c r="I85" i="49"/>
  <c r="I85" i="45"/>
  <c r="I85" i="48"/>
  <c r="Q460" i="44"/>
  <c r="I85" i="46"/>
  <c r="I85" i="47"/>
  <c r="I26" i="45"/>
  <c r="Q138" i="44"/>
  <c r="I26" i="46"/>
  <c r="I18" i="47"/>
  <c r="I18" i="49"/>
  <c r="Q106" i="44"/>
  <c r="I18" i="45"/>
  <c r="Q436" i="44"/>
  <c r="H82" i="45" s="1"/>
  <c r="I82" i="45"/>
  <c r="Q359" i="44"/>
  <c r="D72" i="47" s="1"/>
  <c r="E72" i="47"/>
  <c r="I65" i="49"/>
  <c r="Q299" i="44"/>
  <c r="I65" i="48"/>
  <c r="I65" i="47"/>
  <c r="Q274" i="44"/>
  <c r="I57" i="46"/>
  <c r="I57" i="45"/>
  <c r="Q36" i="44"/>
  <c r="H10" i="46" s="1"/>
  <c r="I10" i="46"/>
  <c r="Q12" i="44"/>
  <c r="H6" i="46" s="1"/>
  <c r="I6" i="46"/>
  <c r="I12" i="45"/>
  <c r="Q71" i="44"/>
  <c r="H12" i="45" s="1"/>
  <c r="J12" i="45" s="1"/>
  <c r="Q307" i="44"/>
  <c r="H66" i="49" s="1"/>
  <c r="I66" i="49"/>
  <c r="Q229" i="44"/>
  <c r="I46" i="45"/>
  <c r="I46" i="46"/>
  <c r="Q445" i="44"/>
  <c r="H82" i="47" s="1"/>
  <c r="I82" i="47"/>
  <c r="Q315" i="44"/>
  <c r="E67" i="48"/>
  <c r="E67" i="45"/>
  <c r="E67" i="49"/>
  <c r="E67" i="46"/>
  <c r="E67" i="47"/>
  <c r="Q429" i="44"/>
  <c r="H81" i="47" s="1"/>
  <c r="I81" i="47"/>
  <c r="Q424" i="44"/>
  <c r="E81" i="45"/>
  <c r="E81" i="47"/>
  <c r="E81" i="49"/>
  <c r="E81" i="48"/>
  <c r="E81" i="46"/>
  <c r="Q420" i="44"/>
  <c r="H80" i="45" s="1"/>
  <c r="I80" i="45"/>
  <c r="I68" i="48"/>
  <c r="I68" i="49"/>
  <c r="Q329" i="44"/>
  <c r="I20" i="45"/>
  <c r="I20" i="47"/>
  <c r="Q112" i="44"/>
  <c r="I20" i="46"/>
  <c r="I20" i="48"/>
  <c r="I27" i="48"/>
  <c r="Q147" i="44"/>
  <c r="H27" i="48" s="1"/>
  <c r="Q244" i="44"/>
  <c r="I50" i="46"/>
  <c r="I50" i="47"/>
  <c r="I50" i="45"/>
  <c r="Q488" i="44"/>
  <c r="I89" i="49"/>
  <c r="I89" i="48"/>
  <c r="Q170" i="44"/>
  <c r="E33" i="46"/>
  <c r="E33" i="47"/>
  <c r="E33" i="45"/>
  <c r="I71" i="47"/>
  <c r="Q351" i="44"/>
  <c r="H71" i="47" s="1"/>
  <c r="E91" i="47"/>
  <c r="E91" i="49"/>
  <c r="E91" i="45"/>
  <c r="E91" i="46"/>
  <c r="Q494" i="44"/>
  <c r="E91" i="48"/>
  <c r="I32" i="45"/>
  <c r="Q169" i="44"/>
  <c r="H32" i="45" s="1"/>
  <c r="Q356" i="44"/>
  <c r="E72" i="46"/>
  <c r="E72" i="45"/>
  <c r="I72" i="47"/>
  <c r="I72" i="48"/>
  <c r="Q60" i="44"/>
  <c r="H12" i="46" s="1"/>
  <c r="I12" i="46"/>
  <c r="E64" i="47"/>
  <c r="Q290" i="44"/>
  <c r="E64" i="45"/>
  <c r="E64" i="49"/>
  <c r="E64" i="48"/>
  <c r="E64" i="46"/>
  <c r="Q346" i="44"/>
  <c r="D70" i="49" s="1"/>
  <c r="E70" i="49"/>
  <c r="Q184" i="44"/>
  <c r="I36" i="46"/>
  <c r="I36" i="47"/>
  <c r="I36" i="45"/>
  <c r="Q93" i="44"/>
  <c r="E17" i="46"/>
  <c r="E17" i="49"/>
  <c r="E17" i="45"/>
  <c r="E17" i="48"/>
  <c r="E17" i="47"/>
  <c r="H62" i="46"/>
  <c r="H62" i="45"/>
  <c r="J82" i="49"/>
  <c r="V22" i="48"/>
  <c r="J23" i="48"/>
  <c r="M23" i="48"/>
  <c r="J82" i="46"/>
  <c r="H41" i="45"/>
  <c r="H41" i="46"/>
  <c r="J27" i="46"/>
  <c r="H17" i="46"/>
  <c r="J17" i="46" s="1"/>
  <c r="H17" i="45"/>
  <c r="J17" i="45" s="1"/>
  <c r="H14" i="49"/>
  <c r="D14" i="45"/>
  <c r="D14" i="47"/>
  <c r="H14" i="48"/>
  <c r="D14" i="46"/>
  <c r="H40" i="46"/>
  <c r="H40" i="45"/>
  <c r="D13" i="46"/>
  <c r="D13" i="45"/>
  <c r="D77" i="46"/>
  <c r="H77" i="49"/>
  <c r="H77" i="48"/>
  <c r="D10" i="49"/>
  <c r="D10" i="48"/>
  <c r="D68" i="47"/>
  <c r="D68" i="48"/>
  <c r="D68" i="46"/>
  <c r="D68" i="49"/>
  <c r="D68" i="45"/>
  <c r="D13" i="98" a="1"/>
  <c r="D65" i="97" a="1"/>
  <c r="D13" i="97" a="1"/>
  <c r="D65" i="50" a="1"/>
  <c r="D20" i="96" a="1"/>
  <c r="D17" i="95" a="1"/>
  <c r="D20" i="97" a="1"/>
  <c r="D9" i="98" a="1"/>
  <c r="D9" i="98" l="1"/>
  <c r="I24" i="89" s="1"/>
  <c r="D20" i="97"/>
  <c r="I35" i="90" s="1"/>
  <c r="D17" i="95"/>
  <c r="I29" i="92" s="1"/>
  <c r="D20" i="96"/>
  <c r="I33" i="91" s="1"/>
  <c r="D65" i="50"/>
  <c r="I43" i="93" s="1"/>
  <c r="D13" i="97"/>
  <c r="I28" i="90" s="1"/>
  <c r="D65" i="97"/>
  <c r="I80" i="90" s="1"/>
  <c r="D13" i="98"/>
  <c r="I28" i="89" s="1"/>
  <c r="F76" i="48"/>
  <c r="H32" i="46"/>
  <c r="P23" i="48"/>
  <c r="H12" i="49"/>
  <c r="M14" i="49" s="1"/>
  <c r="H82" i="48"/>
  <c r="H18" i="46"/>
  <c r="H18" i="48"/>
  <c r="D26" i="47"/>
  <c r="J66" i="49"/>
  <c r="J73" i="45"/>
  <c r="H11" i="48"/>
  <c r="H70" i="47"/>
  <c r="H64" i="48"/>
  <c r="F68" i="45"/>
  <c r="F68" i="49"/>
  <c r="F68" i="46"/>
  <c r="F68" i="48"/>
  <c r="F68" i="47"/>
  <c r="F10" i="48"/>
  <c r="F10" i="49"/>
  <c r="J77" i="48"/>
  <c r="J77" i="49"/>
  <c r="F77" i="46"/>
  <c r="F13" i="45"/>
  <c r="F13" i="46"/>
  <c r="J40" i="45"/>
  <c r="J40" i="46"/>
  <c r="F14" i="46"/>
  <c r="J14" i="48"/>
  <c r="F14" i="47"/>
  <c r="F14" i="45"/>
  <c r="J14" i="49"/>
  <c r="J41" i="46"/>
  <c r="J41" i="45"/>
  <c r="V61" i="45"/>
  <c r="M62" i="45"/>
  <c r="J62" i="45"/>
  <c r="J62" i="46"/>
  <c r="M62" i="46"/>
  <c r="V61" i="46"/>
  <c r="D17" i="47"/>
  <c r="D17" i="48"/>
  <c r="F17" i="48" s="1"/>
  <c r="D17" i="49"/>
  <c r="F17" i="49" s="1"/>
  <c r="D17" i="45"/>
  <c r="F17" i="45" s="1"/>
  <c r="D17" i="46"/>
  <c r="H36" i="45"/>
  <c r="H36" i="47"/>
  <c r="J36" i="47" s="1"/>
  <c r="H36" i="46"/>
  <c r="J36" i="46" s="1"/>
  <c r="F70" i="49"/>
  <c r="D64" i="47"/>
  <c r="L68" i="47" s="1"/>
  <c r="D64" i="49"/>
  <c r="L70" i="49" s="1"/>
  <c r="N70" i="49" s="1"/>
  <c r="D64" i="48"/>
  <c r="L68" i="48" s="1"/>
  <c r="D64" i="45"/>
  <c r="D64" i="46"/>
  <c r="L68" i="46" s="1"/>
  <c r="J12" i="46"/>
  <c r="H72" i="48"/>
  <c r="D72" i="46"/>
  <c r="H72" i="47"/>
  <c r="V31" i="45"/>
  <c r="J32" i="45"/>
  <c r="M32" i="45"/>
  <c r="D91" i="48"/>
  <c r="F91" i="48" s="1"/>
  <c r="D91" i="49"/>
  <c r="D91" i="45"/>
  <c r="F91" i="45" s="1"/>
  <c r="D91" i="47"/>
  <c r="D91" i="46"/>
  <c r="J71" i="47"/>
  <c r="D33" i="45"/>
  <c r="F33" i="45" s="1"/>
  <c r="D33" i="46"/>
  <c r="F33" i="46" s="1"/>
  <c r="D33" i="47"/>
  <c r="H89" i="48"/>
  <c r="H89" i="47"/>
  <c r="H50" i="46"/>
  <c r="J50" i="46" s="1"/>
  <c r="H50" i="45"/>
  <c r="H50" i="47"/>
  <c r="J50" i="47" s="1"/>
  <c r="J27" i="48"/>
  <c r="H20" i="45"/>
  <c r="H20" i="46"/>
  <c r="H20" i="48"/>
  <c r="H20" i="47"/>
  <c r="H68" i="48"/>
  <c r="H68" i="49"/>
  <c r="J80" i="45"/>
  <c r="D81" i="45"/>
  <c r="D81" i="48"/>
  <c r="D81" i="47"/>
  <c r="D81" i="46"/>
  <c r="D81" i="49"/>
  <c r="J81" i="47"/>
  <c r="D67" i="47"/>
  <c r="D67" i="45"/>
  <c r="D67" i="49"/>
  <c r="D67" i="48"/>
  <c r="D67" i="46"/>
  <c r="J82" i="47"/>
  <c r="H46" i="45"/>
  <c r="J46" i="45" s="1"/>
  <c r="H46" i="46"/>
  <c r="J6" i="46"/>
  <c r="J10" i="46"/>
  <c r="H57" i="46"/>
  <c r="J57" i="46" s="1"/>
  <c r="H57" i="45"/>
  <c r="H65" i="48"/>
  <c r="H65" i="49"/>
  <c r="H65" i="47"/>
  <c r="F72" i="47"/>
  <c r="J82" i="45"/>
  <c r="H18" i="47"/>
  <c r="J18" i="47" s="1"/>
  <c r="H18" i="49"/>
  <c r="H18" i="45"/>
  <c r="H26" i="46"/>
  <c r="M27" i="46" s="1"/>
  <c r="P27" i="46" s="1"/>
  <c r="H26" i="45"/>
  <c r="H85" i="47"/>
  <c r="H85" i="46"/>
  <c r="H85" i="49"/>
  <c r="H85" i="48"/>
  <c r="H85" i="45"/>
  <c r="D12" i="49"/>
  <c r="D12" i="47"/>
  <c r="D12" i="45"/>
  <c r="D12" i="48"/>
  <c r="D12" i="46"/>
  <c r="H42" i="46"/>
  <c r="H42" i="45"/>
  <c r="H76" i="45"/>
  <c r="M80" i="45" s="1"/>
  <c r="P80" i="45" s="1"/>
  <c r="H76" i="49"/>
  <c r="H76" i="46"/>
  <c r="H76" i="48"/>
  <c r="M77" i="48" s="1"/>
  <c r="H76" i="47"/>
  <c r="M81" i="47" s="1"/>
  <c r="P81" i="47" s="1"/>
  <c r="D66" i="45"/>
  <c r="D66" i="48"/>
  <c r="D66" i="49"/>
  <c r="D66" i="47"/>
  <c r="D66" i="46"/>
  <c r="H91" i="49"/>
  <c r="H91" i="45"/>
  <c r="H91" i="46"/>
  <c r="H91" i="48"/>
  <c r="H91" i="47"/>
  <c r="J91" i="47" s="1"/>
  <c r="J81" i="46"/>
  <c r="D86" i="48"/>
  <c r="D86" i="49"/>
  <c r="D86" i="46"/>
  <c r="D86" i="47"/>
  <c r="D86" i="45"/>
  <c r="F26" i="48"/>
  <c r="D45" i="46"/>
  <c r="H45" i="47"/>
  <c r="D45" i="45"/>
  <c r="D89" i="49"/>
  <c r="D89" i="48"/>
  <c r="D89" i="46"/>
  <c r="D89" i="47"/>
  <c r="D89" i="45"/>
  <c r="J67" i="48"/>
  <c r="J78" i="48"/>
  <c r="H35" i="46"/>
  <c r="H35" i="47"/>
  <c r="H35" i="45"/>
  <c r="H17" i="47"/>
  <c r="H17" i="48"/>
  <c r="H17" i="49"/>
  <c r="H49" i="46"/>
  <c r="H49" i="47"/>
  <c r="H49" i="45"/>
  <c r="F69" i="49"/>
  <c r="D16" i="45"/>
  <c r="D16" i="48"/>
  <c r="D16" i="46"/>
  <c r="D16" i="47"/>
  <c r="D16" i="49"/>
  <c r="D27" i="48"/>
  <c r="L26" i="48" s="1"/>
  <c r="N26" i="48" s="1"/>
  <c r="D27" i="45"/>
  <c r="D27" i="46"/>
  <c r="F27" i="46" s="1"/>
  <c r="D27" i="47"/>
  <c r="S25" i="47" s="1"/>
  <c r="H30" i="46"/>
  <c r="D30" i="45"/>
  <c r="D83" i="45"/>
  <c r="D83" i="46"/>
  <c r="H39" i="46"/>
  <c r="M40" i="46" s="1"/>
  <c r="P40" i="46" s="1"/>
  <c r="H39" i="45"/>
  <c r="M40" i="45" s="1"/>
  <c r="P40" i="45" s="1"/>
  <c r="F20" i="49"/>
  <c r="S19" i="49"/>
  <c r="L20" i="49"/>
  <c r="D29" i="45"/>
  <c r="H29" i="46"/>
  <c r="H52" i="47"/>
  <c r="J52" i="47" s="1"/>
  <c r="H52" i="45"/>
  <c r="H52" i="46"/>
  <c r="D76" i="47"/>
  <c r="D76" i="45"/>
  <c r="D76" i="49"/>
  <c r="D76" i="46"/>
  <c r="L77" i="46" s="1"/>
  <c r="N77" i="46" s="1"/>
  <c r="J69" i="48"/>
  <c r="H74" i="48"/>
  <c r="H74" i="49"/>
  <c r="H74" i="47"/>
  <c r="H74" i="46"/>
  <c r="J74" i="46" s="1"/>
  <c r="H74" i="45"/>
  <c r="J45" i="46"/>
  <c r="M45" i="46"/>
  <c r="P45" i="46" s="1"/>
  <c r="H83" i="48"/>
  <c r="H83" i="49"/>
  <c r="J83" i="49" s="1"/>
  <c r="H12" i="47"/>
  <c r="H12" i="48"/>
  <c r="H87" i="48"/>
  <c r="J87" i="48" s="1"/>
  <c r="H87" i="45"/>
  <c r="H87" i="46"/>
  <c r="J87" i="46" s="1"/>
  <c r="H87" i="49"/>
  <c r="J87" i="49" s="1"/>
  <c r="H87" i="47"/>
  <c r="J18" i="46"/>
  <c r="H23" i="46"/>
  <c r="H23" i="45"/>
  <c r="H23" i="47"/>
  <c r="D69" i="46"/>
  <c r="D69" i="45"/>
  <c r="H69" i="47"/>
  <c r="J67" i="47"/>
  <c r="J73" i="46"/>
  <c r="J64" i="49"/>
  <c r="J18" i="48"/>
  <c r="H43" i="46"/>
  <c r="H43" i="45"/>
  <c r="H37" i="47"/>
  <c r="H37" i="46"/>
  <c r="H37" i="45"/>
  <c r="H59" i="46"/>
  <c r="H59" i="45"/>
  <c r="D32" i="46"/>
  <c r="H32" i="47"/>
  <c r="D32" i="45"/>
  <c r="H79" i="45"/>
  <c r="H79" i="46"/>
  <c r="D72" i="48"/>
  <c r="D72" i="49"/>
  <c r="V9" i="49"/>
  <c r="J11" i="49"/>
  <c r="M11" i="49"/>
  <c r="F7" i="45"/>
  <c r="J13" i="46"/>
  <c r="H51" i="46"/>
  <c r="H51" i="45"/>
  <c r="H71" i="48"/>
  <c r="J71" i="48" s="1"/>
  <c r="D71" i="47"/>
  <c r="D71" i="45"/>
  <c r="D71" i="46"/>
  <c r="J12" i="49"/>
  <c r="M12" i="49"/>
  <c r="F32" i="47"/>
  <c r="L32" i="47"/>
  <c r="S31" i="47"/>
  <c r="D82" i="47"/>
  <c r="D82" i="45"/>
  <c r="D82" i="49"/>
  <c r="D82" i="48"/>
  <c r="F82" i="48" s="1"/>
  <c r="D82" i="46"/>
  <c r="D90" i="48"/>
  <c r="D90" i="49"/>
  <c r="F90" i="49" s="1"/>
  <c r="D90" i="45"/>
  <c r="D90" i="47"/>
  <c r="F90" i="47" s="1"/>
  <c r="D90" i="46"/>
  <c r="F90" i="46" s="1"/>
  <c r="J33" i="47"/>
  <c r="M33" i="47"/>
  <c r="D24" i="45"/>
  <c r="F24" i="45" s="1"/>
  <c r="H24" i="49"/>
  <c r="D24" i="47"/>
  <c r="F24" i="47" s="1"/>
  <c r="D24" i="46"/>
  <c r="F24" i="46" s="1"/>
  <c r="D24" i="48"/>
  <c r="F24" i="48" s="1"/>
  <c r="H3" i="48"/>
  <c r="D3" i="46"/>
  <c r="D3" i="47"/>
  <c r="D3" i="45"/>
  <c r="J77" i="46"/>
  <c r="D11" i="45"/>
  <c r="D11" i="48"/>
  <c r="L10" i="48" s="1"/>
  <c r="N10" i="48" s="1"/>
  <c r="D11" i="47"/>
  <c r="L14" i="47" s="1"/>
  <c r="D11" i="46"/>
  <c r="D11" i="49"/>
  <c r="J6" i="45"/>
  <c r="J82" i="48"/>
  <c r="M82" i="48"/>
  <c r="H64" i="47"/>
  <c r="M71" i="47" s="1"/>
  <c r="P71" i="47" s="1"/>
  <c r="H64" i="46"/>
  <c r="M73" i="46" s="1"/>
  <c r="H64" i="45"/>
  <c r="H54" i="46"/>
  <c r="H54" i="45"/>
  <c r="J33" i="46"/>
  <c r="M33" i="46"/>
  <c r="J3" i="47"/>
  <c r="H7" i="46"/>
  <c r="V5" i="46" s="1"/>
  <c r="H7" i="45"/>
  <c r="V5" i="45" s="1"/>
  <c r="H58" i="46"/>
  <c r="H58" i="45"/>
  <c r="F26" i="47"/>
  <c r="D80" i="45"/>
  <c r="D80" i="46"/>
  <c r="H80" i="47"/>
  <c r="D4" i="47"/>
  <c r="H4" i="49"/>
  <c r="D4" i="48"/>
  <c r="J21" i="47"/>
  <c r="M21" i="47"/>
  <c r="H90" i="47"/>
  <c r="H90" i="49"/>
  <c r="H90" i="46"/>
  <c r="H90" i="48"/>
  <c r="H90" i="45"/>
  <c r="J14" i="46"/>
  <c r="H44" i="46"/>
  <c r="H44" i="45"/>
  <c r="H20" i="49"/>
  <c r="D20" i="46"/>
  <c r="D20" i="45"/>
  <c r="D20" i="48"/>
  <c r="D20" i="47"/>
  <c r="F10" i="47"/>
  <c r="S9" i="47"/>
  <c r="H69" i="49"/>
  <c r="D69" i="48"/>
  <c r="D69" i="47"/>
  <c r="H70" i="49"/>
  <c r="D70" i="45"/>
  <c r="D70" i="46"/>
  <c r="D70" i="47"/>
  <c r="D70" i="48"/>
  <c r="D78" i="49"/>
  <c r="F78" i="49" s="1"/>
  <c r="D78" i="48"/>
  <c r="D78" i="45"/>
  <c r="D78" i="47"/>
  <c r="F78" i="47" s="1"/>
  <c r="D78" i="46"/>
  <c r="H4" i="48"/>
  <c r="D4" i="46"/>
  <c r="H4" i="47"/>
  <c r="M3" i="47" s="1"/>
  <c r="D4" i="45"/>
  <c r="J83" i="47"/>
  <c r="M83" i="47"/>
  <c r="P83" i="47" s="1"/>
  <c r="H60" i="46"/>
  <c r="H60" i="45"/>
  <c r="J64" i="48"/>
  <c r="V63" i="48"/>
  <c r="M64" i="48"/>
  <c r="H11" i="46"/>
  <c r="M12" i="46" s="1"/>
  <c r="P12" i="46" s="1"/>
  <c r="H11" i="47"/>
  <c r="H11" i="45"/>
  <c r="H89" i="49"/>
  <c r="H89" i="46"/>
  <c r="H89" i="45"/>
  <c r="D6" i="45"/>
  <c r="L7" i="45" s="1"/>
  <c r="D6" i="46"/>
  <c r="H6" i="47"/>
  <c r="D23" i="47"/>
  <c r="D23" i="46"/>
  <c r="H23" i="49"/>
  <c r="D23" i="48"/>
  <c r="D23" i="45"/>
  <c r="D26" i="46"/>
  <c r="D26" i="45"/>
  <c r="H26" i="47"/>
  <c r="H26" i="48"/>
  <c r="M27" i="48" s="1"/>
  <c r="P27" i="48" s="1"/>
  <c r="J80" i="46"/>
  <c r="M80" i="46"/>
  <c r="P80" i="46" s="1"/>
  <c r="D21" i="47"/>
  <c r="D21" i="45"/>
  <c r="H21" i="48"/>
  <c r="D21" i="46"/>
  <c r="H16" i="48"/>
  <c r="M18" i="48" s="1"/>
  <c r="P18" i="48" s="1"/>
  <c r="H16" i="49"/>
  <c r="H16" i="47"/>
  <c r="H16" i="46"/>
  <c r="M18" i="46" s="1"/>
  <c r="P18" i="46" s="1"/>
  <c r="H16" i="45"/>
  <c r="J72" i="45"/>
  <c r="M72" i="45"/>
  <c r="D46" i="46"/>
  <c r="D46" i="45"/>
  <c r="H46" i="47"/>
  <c r="J3" i="46"/>
  <c r="M3" i="46"/>
  <c r="D10" i="46"/>
  <c r="L14" i="46" s="1"/>
  <c r="N14" i="46" s="1"/>
  <c r="H10" i="47"/>
  <c r="H10" i="48"/>
  <c r="M11" i="48" s="1"/>
  <c r="P11" i="48" s="1"/>
  <c r="D10" i="45"/>
  <c r="L14" i="45" s="1"/>
  <c r="D80" i="49"/>
  <c r="D80" i="47"/>
  <c r="D80" i="48"/>
  <c r="J11" i="48"/>
  <c r="H56" i="45"/>
  <c r="H56" i="46"/>
  <c r="D74" i="48"/>
  <c r="D74" i="49"/>
  <c r="D74" i="45"/>
  <c r="D74" i="47"/>
  <c r="D74" i="46"/>
  <c r="D65" i="45"/>
  <c r="L68" i="45" s="1"/>
  <c r="D65" i="46"/>
  <c r="D65" i="49"/>
  <c r="L69" i="49" s="1"/>
  <c r="D65" i="47"/>
  <c r="L73" i="47" s="1"/>
  <c r="N73" i="47" s="1"/>
  <c r="D65" i="48"/>
  <c r="D77" i="49"/>
  <c r="D77" i="48"/>
  <c r="D77" i="45"/>
  <c r="D77" i="47"/>
  <c r="D8" i="45"/>
  <c r="F8" i="45" s="1"/>
  <c r="D8" i="48"/>
  <c r="D8" i="46"/>
  <c r="F8" i="46" s="1"/>
  <c r="D8" i="47"/>
  <c r="D8" i="49"/>
  <c r="J70" i="46"/>
  <c r="H78" i="47"/>
  <c r="M82" i="47" s="1"/>
  <c r="P82" i="47" s="1"/>
  <c r="H78" i="49"/>
  <c r="H78" i="45"/>
  <c r="H78" i="46"/>
  <c r="M77" i="46" s="1"/>
  <c r="P77" i="46" s="1"/>
  <c r="H48" i="46"/>
  <c r="H48" i="45"/>
  <c r="H48" i="47"/>
  <c r="H73" i="47"/>
  <c r="M67" i="47" s="1"/>
  <c r="P67" i="47" s="1"/>
  <c r="D73" i="46"/>
  <c r="D73" i="45"/>
  <c r="F73" i="47"/>
  <c r="J66" i="47"/>
  <c r="M66" i="47"/>
  <c r="P66" i="47" s="1"/>
  <c r="J70" i="47"/>
  <c r="M70" i="47"/>
  <c r="D18" i="46"/>
  <c r="D18" i="48"/>
  <c r="D18" i="45"/>
  <c r="D18" i="47"/>
  <c r="D18" i="49"/>
  <c r="D72" i="45"/>
  <c r="H72" i="46"/>
  <c r="J29" i="45"/>
  <c r="M29" i="45"/>
  <c r="V28" i="45"/>
  <c r="D85" i="46"/>
  <c r="D85" i="45"/>
  <c r="D85" i="48"/>
  <c r="D85" i="47"/>
  <c r="D85" i="49"/>
  <c r="M32" i="46"/>
  <c r="J32" i="46"/>
  <c r="V31" i="46"/>
  <c r="D83" i="49"/>
  <c r="H83" i="46"/>
  <c r="D83" i="48"/>
  <c r="D83" i="47"/>
  <c r="H83" i="45"/>
  <c r="C52" i="97" a="1"/>
  <c r="D29" i="98" a="1"/>
  <c r="C11" i="96" a="1"/>
  <c r="D30" i="98" a="1"/>
  <c r="C54" i="50" a="1"/>
  <c r="C24" i="98" a="1"/>
  <c r="D20" i="95" a="1"/>
  <c r="D63" i="98" a="1"/>
  <c r="D35" i="98" a="1"/>
  <c r="D7" i="97" a="1"/>
  <c r="C53" i="50" a="1"/>
  <c r="D48" i="50" a="1"/>
  <c r="D60" i="97" a="1"/>
  <c r="C61" i="96" a="1"/>
  <c r="C57" i="96" a="1"/>
  <c r="D50" i="96" a="1"/>
  <c r="C59" i="95" a="1"/>
  <c r="D60" i="50" a="1"/>
  <c r="C13" i="95" a="1"/>
  <c r="C72" i="95" a="1"/>
  <c r="C24" i="97" a="1"/>
  <c r="C20" i="97" a="1"/>
  <c r="C15" i="50" a="1"/>
  <c r="D66" i="50" a="1"/>
  <c r="D14" i="97" a="1"/>
  <c r="D51" i="96" a="1"/>
  <c r="D55" i="95" a="1"/>
  <c r="C71" i="50" a="1"/>
  <c r="C18" i="96" a="1"/>
  <c r="C60" i="97" a="1"/>
  <c r="D29" i="97" a="1"/>
  <c r="C11" i="98" a="1"/>
  <c r="C13" i="50" a="1"/>
  <c r="D4" i="97" a="1"/>
  <c r="C18" i="97" a="1"/>
  <c r="D48" i="95" a="1"/>
  <c r="D63" i="97" a="1"/>
  <c r="C52" i="95" a="1"/>
  <c r="C13" i="98" a="1"/>
  <c r="C72" i="98" a="1"/>
  <c r="C56" i="96" a="1"/>
  <c r="D51" i="95" a="1"/>
  <c r="D57" i="97" a="1"/>
  <c r="C5" i="98" a="1"/>
  <c r="C71" i="96" a="1"/>
  <c r="C18" i="95" a="1"/>
  <c r="D24" i="97" a="1"/>
  <c r="C10" i="98" a="1"/>
  <c r="C11" i="97" a="1"/>
  <c r="D11" i="50" a="1"/>
  <c r="D47" i="98" a="1"/>
  <c r="D58" i="97" a="1"/>
  <c r="D69" i="95" a="1"/>
  <c r="D14" i="95" a="1"/>
  <c r="C71" i="97" a="1"/>
  <c r="D65" i="95" a="1"/>
  <c r="C19" i="96" a="1"/>
  <c r="D11" i="97" a="1"/>
  <c r="D54" i="97" a="1"/>
  <c r="D54" i="96" a="1"/>
  <c r="C52" i="98" a="1"/>
  <c r="C52" i="96" a="1"/>
  <c r="D60" i="95" a="1"/>
  <c r="D47" i="97" a="1"/>
  <c r="D23" i="98" a="1"/>
  <c r="D38" i="97" a="1"/>
  <c r="D65" i="98" a="1"/>
  <c r="D61" i="95" a="1"/>
  <c r="D8" i="50" a="1"/>
  <c r="D10" i="97" a="1"/>
  <c r="D9" i="50" a="1"/>
  <c r="D24" i="96" a="1"/>
  <c r="D2" i="96" a="1"/>
  <c r="D16" i="96" a="1"/>
  <c r="C7" i="96" a="1"/>
  <c r="C61" i="50" a="1"/>
  <c r="D56" i="98" a="1"/>
  <c r="D8" i="95" a="1"/>
  <c r="D21" i="98" a="1"/>
  <c r="D4" i="98" a="1"/>
  <c r="C6" i="98" a="1"/>
  <c r="D23" i="97" a="1"/>
  <c r="D50" i="50" a="1"/>
  <c r="C10" i="97" a="1"/>
  <c r="D11" i="95" a="1"/>
  <c r="D30" i="97" a="1"/>
  <c r="D26" i="96" a="1"/>
  <c r="D55" i="96" a="1"/>
  <c r="D65" i="96" a="1"/>
  <c r="D43" i="97" a="1"/>
  <c r="D72" i="96" a="1"/>
  <c r="D34" i="97" a="1"/>
  <c r="D69" i="97" a="1"/>
  <c r="C65" i="95" a="1"/>
  <c r="D66" i="96" a="1"/>
  <c r="C6" i="97" a="1"/>
  <c r="D57" i="98" a="1"/>
  <c r="C52" i="50" a="1"/>
  <c r="C7" i="95" a="1"/>
  <c r="C7" i="50" a="1"/>
  <c r="D26" i="97" a="1"/>
  <c r="D9" i="97" a="1"/>
  <c r="D38" i="96" a="1"/>
  <c r="D64" i="96" a="1"/>
  <c r="D14" i="96" a="1"/>
  <c r="D64" i="97" a="1"/>
  <c r="C19" i="95" a="1"/>
  <c r="D53" i="95" a="1"/>
  <c r="D69" i="50" a="1"/>
  <c r="C23" i="96" a="1"/>
  <c r="C18" i="98" a="1"/>
  <c r="D2" i="97" a="1"/>
  <c r="D40" i="96" a="1"/>
  <c r="D40" i="96" l="1"/>
  <c r="I46" i="91" s="1"/>
  <c r="D2" i="97"/>
  <c r="I17" i="90" s="1"/>
  <c r="C18" i="98"/>
  <c r="G33" i="89" s="1"/>
  <c r="C23" i="96"/>
  <c r="G36" i="91" s="1"/>
  <c r="D69" i="50"/>
  <c r="I47" i="93" s="1"/>
  <c r="D53" i="95"/>
  <c r="I38" i="92" s="1"/>
  <c r="C19" i="95"/>
  <c r="G31" i="92" s="1"/>
  <c r="D64" i="97"/>
  <c r="I79" i="90" s="1"/>
  <c r="D14" i="96"/>
  <c r="I27" i="91" s="1"/>
  <c r="D64" i="96"/>
  <c r="I62" i="91" s="1"/>
  <c r="D38" i="96"/>
  <c r="I45" i="91" s="1"/>
  <c r="D9" i="97"/>
  <c r="I24" i="90" s="1"/>
  <c r="D26" i="97"/>
  <c r="I41" i="90" s="1"/>
  <c r="C7" i="50"/>
  <c r="G19" i="93" s="1"/>
  <c r="C7" i="95"/>
  <c r="G20" i="92" s="1"/>
  <c r="C52" i="50"/>
  <c r="G33" i="93" s="1"/>
  <c r="D57" i="98"/>
  <c r="I72" i="89" s="1"/>
  <c r="C6" i="97"/>
  <c r="G21" i="90" s="1"/>
  <c r="D66" i="96"/>
  <c r="I64" i="91" s="1"/>
  <c r="C65" i="95"/>
  <c r="G48" i="92" s="1"/>
  <c r="D69" i="97"/>
  <c r="I84" i="90" s="1"/>
  <c r="D34" i="97"/>
  <c r="I49" i="90" s="1"/>
  <c r="D72" i="96"/>
  <c r="I70" i="91" s="1"/>
  <c r="D43" i="97"/>
  <c r="I58" i="90" s="1"/>
  <c r="D65" i="96"/>
  <c r="I63" i="91" s="1"/>
  <c r="D55" i="96"/>
  <c r="I54" i="91" s="1"/>
  <c r="D26" i="96"/>
  <c r="I39" i="91" s="1"/>
  <c r="D30" i="97"/>
  <c r="I45" i="90" s="1"/>
  <c r="D11" i="95"/>
  <c r="I23" i="92" s="1"/>
  <c r="C10" i="97"/>
  <c r="G25" i="90" s="1"/>
  <c r="D50" i="50"/>
  <c r="I31" i="93" s="1"/>
  <c r="D23" i="97"/>
  <c r="I38" i="90" s="1"/>
  <c r="C6" i="98"/>
  <c r="G21" i="89" s="1"/>
  <c r="D4" i="98"/>
  <c r="I19" i="89" s="1"/>
  <c r="D21" i="98"/>
  <c r="I36" i="89" s="1"/>
  <c r="D8" i="95"/>
  <c r="I21" i="92" s="1"/>
  <c r="D56" i="98"/>
  <c r="I71" i="89" s="1"/>
  <c r="C61" i="50"/>
  <c r="G40" i="93" s="1"/>
  <c r="C7" i="96"/>
  <c r="G21" i="91" s="1"/>
  <c r="D16" i="96"/>
  <c r="I29" i="91" s="1"/>
  <c r="D2" i="96"/>
  <c r="I17" i="91" s="1"/>
  <c r="D24" i="96"/>
  <c r="I37" i="91" s="1"/>
  <c r="D9" i="50"/>
  <c r="I21" i="93" s="1"/>
  <c r="D10" i="97"/>
  <c r="I25" i="90" s="1"/>
  <c r="D8" i="50"/>
  <c r="I20" i="93" s="1"/>
  <c r="D61" i="95"/>
  <c r="I45" i="92" s="1"/>
  <c r="D65" i="98"/>
  <c r="I80" i="89" s="1"/>
  <c r="D38" i="97"/>
  <c r="I53" i="90" s="1"/>
  <c r="D23" i="98"/>
  <c r="I38" i="89" s="1"/>
  <c r="D47" i="97"/>
  <c r="I62" i="90" s="1"/>
  <c r="D60" i="95"/>
  <c r="I44" i="92" s="1"/>
  <c r="C52" i="96"/>
  <c r="G51" i="91" s="1"/>
  <c r="C52" i="98"/>
  <c r="G67" i="89" s="1"/>
  <c r="D54" i="96"/>
  <c r="I53" i="91" s="1"/>
  <c r="D54" i="97"/>
  <c r="I69" i="90" s="1"/>
  <c r="D11" i="97"/>
  <c r="I26" i="90" s="1"/>
  <c r="C19" i="96"/>
  <c r="G32" i="91" s="1"/>
  <c r="D65" i="95"/>
  <c r="I48" i="92" s="1"/>
  <c r="C71" i="97"/>
  <c r="G86" i="90" s="1"/>
  <c r="D14" i="95"/>
  <c r="I26" i="92" s="1"/>
  <c r="D69" i="95"/>
  <c r="I52" i="92" s="1"/>
  <c r="D58" i="97"/>
  <c r="I73" i="90" s="1"/>
  <c r="D47" i="98"/>
  <c r="I62" i="89" s="1"/>
  <c r="D11" i="50"/>
  <c r="I22" i="93" s="1"/>
  <c r="C11" i="97"/>
  <c r="G26" i="90" s="1"/>
  <c r="C10" i="98"/>
  <c r="G25" i="89" s="1"/>
  <c r="D24" i="97"/>
  <c r="I39" i="90" s="1"/>
  <c r="C18" i="95"/>
  <c r="G30" i="92" s="1"/>
  <c r="C71" i="96"/>
  <c r="G69" i="91" s="1"/>
  <c r="C5" i="98"/>
  <c r="G20" i="89" s="1"/>
  <c r="D57" i="97"/>
  <c r="I72" i="90" s="1"/>
  <c r="D51" i="95"/>
  <c r="I36" i="92" s="1"/>
  <c r="C56" i="96"/>
  <c r="G55" i="91" s="1"/>
  <c r="C72" i="98"/>
  <c r="G87" i="89" s="1"/>
  <c r="C13" i="98"/>
  <c r="G28" i="89" s="1"/>
  <c r="C52" i="95"/>
  <c r="G37" i="92" s="1"/>
  <c r="D63" i="97"/>
  <c r="I78" i="90" s="1"/>
  <c r="D48" i="95"/>
  <c r="I33" i="92" s="1"/>
  <c r="C18" i="97"/>
  <c r="G33" i="90" s="1"/>
  <c r="D4" i="97"/>
  <c r="I19" i="90" s="1"/>
  <c r="C13" i="50"/>
  <c r="G24" i="93" s="1"/>
  <c r="C11" i="98"/>
  <c r="G26" i="89" s="1"/>
  <c r="D29" i="97"/>
  <c r="I44" i="90" s="1"/>
  <c r="C60" i="97"/>
  <c r="G75" i="90" s="1"/>
  <c r="C18" i="96"/>
  <c r="G31" i="91" s="1"/>
  <c r="C71" i="50"/>
  <c r="G49" i="93" s="1"/>
  <c r="D55" i="95"/>
  <c r="I40" i="92" s="1"/>
  <c r="D51" i="96"/>
  <c r="I50" i="91" s="1"/>
  <c r="D14" i="97"/>
  <c r="I29" i="90" s="1"/>
  <c r="D66" i="50"/>
  <c r="I44" i="93" s="1"/>
  <c r="C15" i="50"/>
  <c r="G26" i="93" s="1"/>
  <c r="C20" i="97"/>
  <c r="G35" i="90" s="1"/>
  <c r="C24" i="97"/>
  <c r="G39" i="90" s="1"/>
  <c r="C72" i="95"/>
  <c r="G55" i="92" s="1"/>
  <c r="C13" i="95"/>
  <c r="G25" i="92" s="1"/>
  <c r="D60" i="50"/>
  <c r="I39" i="93" s="1"/>
  <c r="C59" i="95"/>
  <c r="G43" i="92" s="1"/>
  <c r="D50" i="96"/>
  <c r="I49" i="91" s="1"/>
  <c r="C57" i="96"/>
  <c r="G56" i="91" s="1"/>
  <c r="C61" i="96"/>
  <c r="G60" i="91" s="1"/>
  <c r="D60" i="97"/>
  <c r="I75" i="90" s="1"/>
  <c r="D48" i="50"/>
  <c r="I29" i="93" s="1"/>
  <c r="C53" i="50"/>
  <c r="G34" i="93" s="1"/>
  <c r="D7" i="97"/>
  <c r="I22" i="90" s="1"/>
  <c r="D35" i="98"/>
  <c r="I50" i="89" s="1"/>
  <c r="D63" i="98"/>
  <c r="I78" i="89" s="1"/>
  <c r="D20" i="95"/>
  <c r="I32" i="92" s="1"/>
  <c r="C24" i="98"/>
  <c r="G39" i="89" s="1"/>
  <c r="C54" i="50"/>
  <c r="G35" i="93" s="1"/>
  <c r="D30" i="98"/>
  <c r="I45" i="89" s="1"/>
  <c r="C11" i="96"/>
  <c r="G24" i="91" s="1"/>
  <c r="D29" i="98"/>
  <c r="I44" i="89" s="1"/>
  <c r="C52" i="97"/>
  <c r="G67" i="90" s="1"/>
  <c r="P3" i="46"/>
  <c r="N32" i="47"/>
  <c r="M64" i="49"/>
  <c r="M41" i="46"/>
  <c r="P41" i="46" s="1"/>
  <c r="M14" i="48"/>
  <c r="L13" i="46"/>
  <c r="N13" i="46" s="1"/>
  <c r="M83" i="49"/>
  <c r="P83" i="49" s="1"/>
  <c r="N10" i="49"/>
  <c r="N68" i="49"/>
  <c r="L10" i="47"/>
  <c r="N10" i="47" s="1"/>
  <c r="P33" i="47"/>
  <c r="M13" i="46"/>
  <c r="V63" i="49"/>
  <c r="M78" i="48"/>
  <c r="P78" i="48" s="1"/>
  <c r="S25" i="48"/>
  <c r="M82" i="45"/>
  <c r="P82" i="45" s="1"/>
  <c r="P14" i="48"/>
  <c r="L10" i="49"/>
  <c r="S9" i="48"/>
  <c r="L68" i="49"/>
  <c r="P32" i="46"/>
  <c r="P29" i="45"/>
  <c r="M70" i="46"/>
  <c r="P70" i="46" s="1"/>
  <c r="P72" i="45"/>
  <c r="M14" i="46"/>
  <c r="P21" i="47"/>
  <c r="P3" i="47"/>
  <c r="P82" i="48"/>
  <c r="P12" i="49"/>
  <c r="P13" i="46"/>
  <c r="P11" i="49"/>
  <c r="M66" i="49"/>
  <c r="P66" i="49" s="1"/>
  <c r="P32" i="45"/>
  <c r="P62" i="46"/>
  <c r="Q62" i="46" s="1"/>
  <c r="L13" i="45"/>
  <c r="P77" i="48"/>
  <c r="S9" i="49"/>
  <c r="N68" i="47"/>
  <c r="N68" i="45"/>
  <c r="Q24" i="48"/>
  <c r="Q23" i="48"/>
  <c r="P70" i="47"/>
  <c r="P14" i="46"/>
  <c r="P33" i="46"/>
  <c r="M67" i="48"/>
  <c r="P67" i="48" s="1"/>
  <c r="L72" i="47"/>
  <c r="N72" i="47" s="1"/>
  <c r="M6" i="46"/>
  <c r="P6" i="46" s="1"/>
  <c r="P62" i="45"/>
  <c r="Q62" i="45" s="1"/>
  <c r="P14" i="49"/>
  <c r="N13" i="45"/>
  <c r="N7" i="45"/>
  <c r="P73" i="46"/>
  <c r="N68" i="48"/>
  <c r="S75" i="48"/>
  <c r="P64" i="48"/>
  <c r="M71" i="48"/>
  <c r="P71" i="48" s="1"/>
  <c r="M82" i="46"/>
  <c r="P82" i="46" s="1"/>
  <c r="N14" i="45"/>
  <c r="M6" i="45"/>
  <c r="P6" i="45" s="1"/>
  <c r="N24" i="47"/>
  <c r="N20" i="49"/>
  <c r="M82" i="49"/>
  <c r="P82" i="49" s="1"/>
  <c r="M10" i="46"/>
  <c r="P10" i="46" s="1"/>
  <c r="M41" i="45"/>
  <c r="P41" i="45" s="1"/>
  <c r="P77" i="49"/>
  <c r="L76" i="48"/>
  <c r="N76" i="48" s="1"/>
  <c r="N78" i="47"/>
  <c r="P64" i="49"/>
  <c r="M69" i="48"/>
  <c r="P69" i="48" s="1"/>
  <c r="M52" i="47"/>
  <c r="P52" i="47" s="1"/>
  <c r="N69" i="49"/>
  <c r="M81" i="46"/>
  <c r="P81" i="46" s="1"/>
  <c r="N14" i="47"/>
  <c r="M77" i="49"/>
  <c r="N68" i="46"/>
  <c r="M83" i="45"/>
  <c r="J83" i="45"/>
  <c r="L78" i="47"/>
  <c r="F83" i="47"/>
  <c r="L83" i="47"/>
  <c r="L82" i="48"/>
  <c r="N82" i="48" s="1"/>
  <c r="F83" i="48"/>
  <c r="L83" i="48"/>
  <c r="J83" i="46"/>
  <c r="M83" i="46"/>
  <c r="L78" i="49"/>
  <c r="N78" i="49" s="1"/>
  <c r="F83" i="49"/>
  <c r="L83" i="49"/>
  <c r="F85" i="49"/>
  <c r="L85" i="49"/>
  <c r="S84" i="49"/>
  <c r="L85" i="47"/>
  <c r="F85" i="47"/>
  <c r="S84" i="47"/>
  <c r="F85" i="48"/>
  <c r="L85" i="48"/>
  <c r="S84" i="48"/>
  <c r="S84" i="45"/>
  <c r="L85" i="45"/>
  <c r="F85" i="45"/>
  <c r="L85" i="46"/>
  <c r="S84" i="46"/>
  <c r="F85" i="46"/>
  <c r="J72" i="46"/>
  <c r="M72" i="46"/>
  <c r="F72" i="45"/>
  <c r="L72" i="45"/>
  <c r="F18" i="49"/>
  <c r="L18" i="49"/>
  <c r="N18" i="49" s="1"/>
  <c r="F18" i="47"/>
  <c r="L18" i="47"/>
  <c r="F18" i="45"/>
  <c r="L18" i="45"/>
  <c r="L18" i="48"/>
  <c r="F18" i="48"/>
  <c r="F18" i="46"/>
  <c r="L18" i="46"/>
  <c r="F73" i="45"/>
  <c r="L73" i="45"/>
  <c r="F73" i="46"/>
  <c r="L73" i="46"/>
  <c r="M73" i="47"/>
  <c r="J73" i="47"/>
  <c r="V47" i="47"/>
  <c r="J48" i="47"/>
  <c r="M48" i="47"/>
  <c r="V47" i="45"/>
  <c r="J48" i="45"/>
  <c r="M48" i="45"/>
  <c r="M50" i="46"/>
  <c r="P50" i="46" s="1"/>
  <c r="J48" i="46"/>
  <c r="M48" i="46"/>
  <c r="V47" i="46"/>
  <c r="J78" i="46"/>
  <c r="M78" i="46"/>
  <c r="J78" i="45"/>
  <c r="M78" i="45"/>
  <c r="J78" i="49"/>
  <c r="M78" i="49"/>
  <c r="J78" i="47"/>
  <c r="M78" i="47"/>
  <c r="P78" i="47" s="1"/>
  <c r="L8" i="49"/>
  <c r="F8" i="49"/>
  <c r="S5" i="49"/>
  <c r="S5" i="47"/>
  <c r="F8" i="47"/>
  <c r="L8" i="47"/>
  <c r="L8" i="48"/>
  <c r="S5" i="48"/>
  <c r="F8" i="48"/>
  <c r="F77" i="47"/>
  <c r="L77" i="47"/>
  <c r="F77" i="45"/>
  <c r="L77" i="45"/>
  <c r="N77" i="45" s="1"/>
  <c r="F77" i="48"/>
  <c r="L77" i="48"/>
  <c r="N77" i="48" s="1"/>
  <c r="F77" i="49"/>
  <c r="L77" i="49"/>
  <c r="F65" i="48"/>
  <c r="L65" i="48"/>
  <c r="F65" i="47"/>
  <c r="L65" i="47"/>
  <c r="N65" i="47" s="1"/>
  <c r="F65" i="49"/>
  <c r="L65" i="49"/>
  <c r="N65" i="49" s="1"/>
  <c r="F65" i="46"/>
  <c r="L65" i="46"/>
  <c r="F65" i="45"/>
  <c r="L65" i="45"/>
  <c r="N65" i="45" s="1"/>
  <c r="F74" i="46"/>
  <c r="L74" i="46"/>
  <c r="N74" i="46" s="1"/>
  <c r="F74" i="47"/>
  <c r="L74" i="47"/>
  <c r="F74" i="45"/>
  <c r="L74" i="45"/>
  <c r="F74" i="49"/>
  <c r="L74" i="49"/>
  <c r="F74" i="48"/>
  <c r="L74" i="48"/>
  <c r="N74" i="48" s="1"/>
  <c r="J56" i="46"/>
  <c r="V55" i="46"/>
  <c r="M56" i="46"/>
  <c r="P56" i="46" s="1"/>
  <c r="J56" i="45"/>
  <c r="M56" i="45"/>
  <c r="V55" i="45"/>
  <c r="F80" i="48"/>
  <c r="L80" i="48"/>
  <c r="F80" i="47"/>
  <c r="L80" i="47"/>
  <c r="F80" i="49"/>
  <c r="L80" i="49"/>
  <c r="N80" i="49" s="1"/>
  <c r="S9" i="45"/>
  <c r="F10" i="45"/>
  <c r="L10" i="45"/>
  <c r="J10" i="48"/>
  <c r="V9" i="48"/>
  <c r="M10" i="48"/>
  <c r="V9" i="47"/>
  <c r="M10" i="47"/>
  <c r="J10" i="47"/>
  <c r="F10" i="46"/>
  <c r="S9" i="46"/>
  <c r="L10" i="46"/>
  <c r="M46" i="47"/>
  <c r="J46" i="47"/>
  <c r="L46" i="45"/>
  <c r="F46" i="45"/>
  <c r="F46" i="46"/>
  <c r="L46" i="46"/>
  <c r="M17" i="45"/>
  <c r="P17" i="45" s="1"/>
  <c r="M16" i="45"/>
  <c r="V15" i="45"/>
  <c r="J16" i="45"/>
  <c r="M17" i="46"/>
  <c r="P17" i="46" s="1"/>
  <c r="J16" i="46"/>
  <c r="M16" i="46"/>
  <c r="V15" i="46"/>
  <c r="M18" i="47"/>
  <c r="P18" i="47" s="1"/>
  <c r="V15" i="47"/>
  <c r="M16" i="47"/>
  <c r="J16" i="47"/>
  <c r="V15" i="49"/>
  <c r="M16" i="49"/>
  <c r="J16" i="49"/>
  <c r="J16" i="48"/>
  <c r="V15" i="48"/>
  <c r="M16" i="48"/>
  <c r="P16" i="48" s="1"/>
  <c r="L21" i="46"/>
  <c r="F21" i="46"/>
  <c r="V19" i="48"/>
  <c r="J21" i="48"/>
  <c r="M21" i="48"/>
  <c r="P21" i="48" s="1"/>
  <c r="F21" i="45"/>
  <c r="L21" i="45"/>
  <c r="F21" i="47"/>
  <c r="L21" i="47"/>
  <c r="J26" i="48"/>
  <c r="M26" i="48"/>
  <c r="V25" i="48"/>
  <c r="M27" i="47"/>
  <c r="P27" i="47" s="1"/>
  <c r="J26" i="47"/>
  <c r="M26" i="47"/>
  <c r="V25" i="47"/>
  <c r="F26" i="45"/>
  <c r="L26" i="45"/>
  <c r="S25" i="45"/>
  <c r="L27" i="46"/>
  <c r="N27" i="46" s="1"/>
  <c r="F26" i="46"/>
  <c r="S25" i="46"/>
  <c r="L26" i="46"/>
  <c r="L24" i="45"/>
  <c r="N24" i="45" s="1"/>
  <c r="F23" i="45"/>
  <c r="L23" i="45"/>
  <c r="S22" i="45"/>
  <c r="L24" i="48"/>
  <c r="N24" i="48" s="1"/>
  <c r="S22" i="48"/>
  <c r="F23" i="48"/>
  <c r="L23" i="48"/>
  <c r="M23" i="49"/>
  <c r="V22" i="49"/>
  <c r="J23" i="49"/>
  <c r="L24" i="46"/>
  <c r="N24" i="46" s="1"/>
  <c r="F23" i="46"/>
  <c r="L23" i="46"/>
  <c r="S22" i="46"/>
  <c r="L24" i="47"/>
  <c r="L23" i="47"/>
  <c r="S22" i="47"/>
  <c r="F23" i="47"/>
  <c r="J6" i="47"/>
  <c r="M6" i="47"/>
  <c r="V5" i="47"/>
  <c r="L8" i="46"/>
  <c r="N8" i="46" s="1"/>
  <c r="S5" i="46"/>
  <c r="L6" i="46"/>
  <c r="F6" i="46"/>
  <c r="L8" i="45"/>
  <c r="N8" i="45" s="1"/>
  <c r="S5" i="45"/>
  <c r="L6" i="45"/>
  <c r="F6" i="45"/>
  <c r="J89" i="45"/>
  <c r="V88" i="45"/>
  <c r="M89" i="45"/>
  <c r="J89" i="46"/>
  <c r="M89" i="46"/>
  <c r="V88" i="46"/>
  <c r="J89" i="49"/>
  <c r="M89" i="49"/>
  <c r="P89" i="49" s="1"/>
  <c r="V88" i="49"/>
  <c r="M12" i="45"/>
  <c r="P12" i="45" s="1"/>
  <c r="J11" i="45"/>
  <c r="M11" i="45"/>
  <c r="V9" i="45"/>
  <c r="J11" i="47"/>
  <c r="M11" i="47"/>
  <c r="V9" i="46"/>
  <c r="M11" i="46"/>
  <c r="J11" i="46"/>
  <c r="J60" i="45"/>
  <c r="M60" i="45"/>
  <c r="J60" i="46"/>
  <c r="M60" i="46"/>
  <c r="P60" i="46" s="1"/>
  <c r="F4" i="45"/>
  <c r="L4" i="45"/>
  <c r="M4" i="47"/>
  <c r="J4" i="47"/>
  <c r="F4" i="46"/>
  <c r="L4" i="46"/>
  <c r="M4" i="48"/>
  <c r="J4" i="48"/>
  <c r="F78" i="46"/>
  <c r="L78" i="46"/>
  <c r="N78" i="46" s="1"/>
  <c r="F78" i="45"/>
  <c r="L78" i="45"/>
  <c r="F78" i="48"/>
  <c r="L78" i="48"/>
  <c r="F70" i="48"/>
  <c r="L70" i="48"/>
  <c r="N70" i="48" s="1"/>
  <c r="F70" i="47"/>
  <c r="L70" i="47"/>
  <c r="N70" i="47" s="1"/>
  <c r="F70" i="46"/>
  <c r="L70" i="46"/>
  <c r="F70" i="45"/>
  <c r="L70" i="45"/>
  <c r="J70" i="49"/>
  <c r="M70" i="49"/>
  <c r="F69" i="47"/>
  <c r="L69" i="47"/>
  <c r="F69" i="48"/>
  <c r="L69" i="48"/>
  <c r="J69" i="49"/>
  <c r="M69" i="49"/>
  <c r="S19" i="47"/>
  <c r="F20" i="47"/>
  <c r="L20" i="47"/>
  <c r="L20" i="48"/>
  <c r="S19" i="48"/>
  <c r="F20" i="48"/>
  <c r="F20" i="45"/>
  <c r="L20" i="45"/>
  <c r="N20" i="45" s="1"/>
  <c r="S19" i="45"/>
  <c r="F20" i="46"/>
  <c r="L20" i="46"/>
  <c r="S19" i="46"/>
  <c r="M20" i="49"/>
  <c r="V19" i="49"/>
  <c r="J20" i="49"/>
  <c r="J44" i="45"/>
  <c r="M44" i="45"/>
  <c r="J44" i="46"/>
  <c r="M44" i="46"/>
  <c r="M90" i="45"/>
  <c r="J90" i="45"/>
  <c r="J90" i="48"/>
  <c r="M90" i="48"/>
  <c r="M90" i="46"/>
  <c r="J90" i="46"/>
  <c r="J90" i="49"/>
  <c r="M90" i="49"/>
  <c r="M91" i="47"/>
  <c r="P91" i="47" s="1"/>
  <c r="M90" i="47"/>
  <c r="J90" i="47"/>
  <c r="F4" i="48"/>
  <c r="L4" i="48"/>
  <c r="M4" i="49"/>
  <c r="J4" i="49"/>
  <c r="F4" i="47"/>
  <c r="L4" i="47"/>
  <c r="J80" i="47"/>
  <c r="M80" i="47"/>
  <c r="L80" i="46"/>
  <c r="F80" i="46"/>
  <c r="F80" i="45"/>
  <c r="L80" i="45"/>
  <c r="M58" i="45"/>
  <c r="J58" i="45"/>
  <c r="J58" i="46"/>
  <c r="M58" i="46"/>
  <c r="P58" i="46" s="1"/>
  <c r="J7" i="45"/>
  <c r="M7" i="45"/>
  <c r="J7" i="46"/>
  <c r="M7" i="46"/>
  <c r="J54" i="45"/>
  <c r="M54" i="45"/>
  <c r="V53" i="45"/>
  <c r="M54" i="46"/>
  <c r="V53" i="46"/>
  <c r="J54" i="46"/>
  <c r="M73" i="45"/>
  <c r="P73" i="45" s="1"/>
  <c r="J64" i="45"/>
  <c r="M64" i="45"/>
  <c r="V63" i="45"/>
  <c r="M74" i="46"/>
  <c r="P74" i="46" s="1"/>
  <c r="J64" i="46"/>
  <c r="M64" i="46"/>
  <c r="V63" i="46"/>
  <c r="J64" i="47"/>
  <c r="M64" i="47"/>
  <c r="V63" i="47"/>
  <c r="L11" i="49"/>
  <c r="F11" i="49"/>
  <c r="F11" i="46"/>
  <c r="L11" i="46"/>
  <c r="F11" i="47"/>
  <c r="L11" i="47"/>
  <c r="L11" i="48"/>
  <c r="F11" i="48"/>
  <c r="F11" i="45"/>
  <c r="L11" i="45"/>
  <c r="L3" i="45"/>
  <c r="F3" i="45"/>
  <c r="F3" i="47"/>
  <c r="L3" i="47"/>
  <c r="N3" i="47" s="1"/>
  <c r="L3" i="46"/>
  <c r="F3" i="46"/>
  <c r="J3" i="48"/>
  <c r="M3" i="48"/>
  <c r="J24" i="49"/>
  <c r="M24" i="49"/>
  <c r="F90" i="45"/>
  <c r="L90" i="45"/>
  <c r="N90" i="45" s="1"/>
  <c r="F90" i="48"/>
  <c r="L90" i="48"/>
  <c r="N90" i="48" s="1"/>
  <c r="F82" i="46"/>
  <c r="L82" i="46"/>
  <c r="F82" i="49"/>
  <c r="L82" i="49"/>
  <c r="F82" i="45"/>
  <c r="L82" i="45"/>
  <c r="N82" i="45" s="1"/>
  <c r="F82" i="47"/>
  <c r="L82" i="47"/>
  <c r="L71" i="46"/>
  <c r="F71" i="46"/>
  <c r="F71" i="45"/>
  <c r="L71" i="45"/>
  <c r="F71" i="47"/>
  <c r="L71" i="47"/>
  <c r="J51" i="45"/>
  <c r="M51" i="45"/>
  <c r="J51" i="46"/>
  <c r="M51" i="46"/>
  <c r="F72" i="49"/>
  <c r="L72" i="49"/>
  <c r="L72" i="48"/>
  <c r="F72" i="48"/>
  <c r="J79" i="46"/>
  <c r="M79" i="46"/>
  <c r="J79" i="45"/>
  <c r="M79" i="45"/>
  <c r="L33" i="45"/>
  <c r="N33" i="45" s="1"/>
  <c r="F32" i="45"/>
  <c r="L32" i="45"/>
  <c r="S31" i="45"/>
  <c r="J32" i="47"/>
  <c r="M32" i="47"/>
  <c r="V31" i="47"/>
  <c r="L33" i="46"/>
  <c r="N33" i="46" s="1"/>
  <c r="F32" i="46"/>
  <c r="L32" i="46"/>
  <c r="S31" i="46"/>
  <c r="J59" i="45"/>
  <c r="M59" i="45"/>
  <c r="M57" i="46"/>
  <c r="P57" i="46" s="1"/>
  <c r="J59" i="46"/>
  <c r="M59" i="46"/>
  <c r="M37" i="45"/>
  <c r="J37" i="45"/>
  <c r="M37" i="46"/>
  <c r="J37" i="46"/>
  <c r="M37" i="47"/>
  <c r="J37" i="47"/>
  <c r="J43" i="45"/>
  <c r="M43" i="45"/>
  <c r="J43" i="46"/>
  <c r="M43" i="46"/>
  <c r="J69" i="47"/>
  <c r="M69" i="47"/>
  <c r="L69" i="45"/>
  <c r="F69" i="45"/>
  <c r="F69" i="46"/>
  <c r="L69" i="46"/>
  <c r="N69" i="46" s="1"/>
  <c r="M23" i="47"/>
  <c r="J23" i="47"/>
  <c r="V22" i="47"/>
  <c r="V22" i="45"/>
  <c r="M23" i="45"/>
  <c r="J23" i="45"/>
  <c r="J23" i="46"/>
  <c r="M23" i="46"/>
  <c r="V22" i="46"/>
  <c r="M87" i="47"/>
  <c r="J87" i="47"/>
  <c r="J87" i="45"/>
  <c r="M87" i="45"/>
  <c r="P87" i="45" s="1"/>
  <c r="M12" i="48"/>
  <c r="J12" i="48"/>
  <c r="J12" i="47"/>
  <c r="M12" i="47"/>
  <c r="J83" i="48"/>
  <c r="M83" i="48"/>
  <c r="J74" i="45"/>
  <c r="M74" i="45"/>
  <c r="J74" i="47"/>
  <c r="M74" i="47"/>
  <c r="P74" i="47" s="1"/>
  <c r="J74" i="49"/>
  <c r="M74" i="49"/>
  <c r="J74" i="48"/>
  <c r="M74" i="48"/>
  <c r="F76" i="46"/>
  <c r="S75" i="46"/>
  <c r="L76" i="46"/>
  <c r="F76" i="49"/>
  <c r="S75" i="49"/>
  <c r="L76" i="49"/>
  <c r="F76" i="45"/>
  <c r="S75" i="45"/>
  <c r="L76" i="45"/>
  <c r="F76" i="47"/>
  <c r="S75" i="47"/>
  <c r="L76" i="47"/>
  <c r="N76" i="47" s="1"/>
  <c r="J52" i="46"/>
  <c r="M52" i="46"/>
  <c r="J52" i="45"/>
  <c r="M52" i="45"/>
  <c r="J29" i="46"/>
  <c r="M29" i="46"/>
  <c r="V28" i="46"/>
  <c r="F29" i="45"/>
  <c r="S28" i="45"/>
  <c r="L29" i="45"/>
  <c r="N29" i="45" s="1"/>
  <c r="M46" i="45"/>
  <c r="P46" i="45" s="1"/>
  <c r="J39" i="45"/>
  <c r="M39" i="45"/>
  <c r="V38" i="45"/>
  <c r="J39" i="46"/>
  <c r="V38" i="46"/>
  <c r="M39" i="46"/>
  <c r="F83" i="46"/>
  <c r="L83" i="46"/>
  <c r="F83" i="45"/>
  <c r="L83" i="45"/>
  <c r="L30" i="45"/>
  <c r="F30" i="45"/>
  <c r="J30" i="46"/>
  <c r="M30" i="46"/>
  <c r="L26" i="47"/>
  <c r="N26" i="47" s="1"/>
  <c r="L27" i="47"/>
  <c r="F27" i="47"/>
  <c r="L27" i="45"/>
  <c r="F27" i="45"/>
  <c r="L27" i="48"/>
  <c r="F27" i="48"/>
  <c r="L17" i="49"/>
  <c r="N17" i="49" s="1"/>
  <c r="L16" i="49"/>
  <c r="S15" i="49"/>
  <c r="F16" i="49"/>
  <c r="L16" i="47"/>
  <c r="F16" i="47"/>
  <c r="S15" i="47"/>
  <c r="L16" i="46"/>
  <c r="S15" i="46"/>
  <c r="F16" i="46"/>
  <c r="L17" i="48"/>
  <c r="N17" i="48" s="1"/>
  <c r="L16" i="48"/>
  <c r="S15" i="48"/>
  <c r="F16" i="48"/>
  <c r="L17" i="45"/>
  <c r="N17" i="45" s="1"/>
  <c r="F16" i="45"/>
  <c r="S15" i="45"/>
  <c r="L16" i="45"/>
  <c r="M49" i="45"/>
  <c r="J49" i="45"/>
  <c r="M50" i="47"/>
  <c r="P50" i="47" s="1"/>
  <c r="J49" i="47"/>
  <c r="M49" i="47"/>
  <c r="J49" i="46"/>
  <c r="M49" i="46"/>
  <c r="M17" i="49"/>
  <c r="J17" i="49"/>
  <c r="M17" i="48"/>
  <c r="J17" i="48"/>
  <c r="J17" i="47"/>
  <c r="M17" i="47"/>
  <c r="J35" i="45"/>
  <c r="M35" i="45"/>
  <c r="V34" i="45"/>
  <c r="M36" i="47"/>
  <c r="P36" i="47" s="1"/>
  <c r="M35" i="47"/>
  <c r="V34" i="47"/>
  <c r="J35" i="47"/>
  <c r="M36" i="46"/>
  <c r="P36" i="46" s="1"/>
  <c r="M35" i="46"/>
  <c r="V34" i="46"/>
  <c r="J35" i="46"/>
  <c r="L91" i="45"/>
  <c r="N91" i="45" s="1"/>
  <c r="S88" i="45"/>
  <c r="L89" i="45"/>
  <c r="F89" i="45"/>
  <c r="L90" i="47"/>
  <c r="N90" i="47" s="1"/>
  <c r="F89" i="47"/>
  <c r="L89" i="47"/>
  <c r="S88" i="47"/>
  <c r="L90" i="46"/>
  <c r="N90" i="46" s="1"/>
  <c r="S88" i="46"/>
  <c r="F89" i="46"/>
  <c r="L89" i="46"/>
  <c r="L91" i="48"/>
  <c r="N91" i="48" s="1"/>
  <c r="F89" i="48"/>
  <c r="L89" i="48"/>
  <c r="S88" i="48"/>
  <c r="L90" i="49"/>
  <c r="N90" i="49" s="1"/>
  <c r="L89" i="49"/>
  <c r="F89" i="49"/>
  <c r="S88" i="49"/>
  <c r="S38" i="45"/>
  <c r="L45" i="45"/>
  <c r="F45" i="45"/>
  <c r="J45" i="47"/>
  <c r="M45" i="47"/>
  <c r="V38" i="47"/>
  <c r="F45" i="46"/>
  <c r="S38" i="46"/>
  <c r="L45" i="46"/>
  <c r="F86" i="45"/>
  <c r="L86" i="45"/>
  <c r="L86" i="47"/>
  <c r="F86" i="47"/>
  <c r="L86" i="46"/>
  <c r="F86" i="46"/>
  <c r="L86" i="49"/>
  <c r="F86" i="49"/>
  <c r="F86" i="48"/>
  <c r="L86" i="48"/>
  <c r="J91" i="48"/>
  <c r="M91" i="48"/>
  <c r="J91" i="46"/>
  <c r="M91" i="46"/>
  <c r="J91" i="45"/>
  <c r="M91" i="45"/>
  <c r="J91" i="49"/>
  <c r="M91" i="49"/>
  <c r="P91" i="49" s="1"/>
  <c r="F66" i="46"/>
  <c r="L66" i="46"/>
  <c r="F66" i="47"/>
  <c r="L66" i="47"/>
  <c r="F66" i="49"/>
  <c r="L66" i="49"/>
  <c r="F66" i="48"/>
  <c r="L66" i="48"/>
  <c r="N66" i="48" s="1"/>
  <c r="F66" i="45"/>
  <c r="L66" i="45"/>
  <c r="J76" i="47"/>
  <c r="V75" i="47"/>
  <c r="M76" i="47"/>
  <c r="J76" i="48"/>
  <c r="M76" i="48"/>
  <c r="V75" i="48"/>
  <c r="J76" i="46"/>
  <c r="M76" i="46"/>
  <c r="V75" i="46"/>
  <c r="J76" i="49"/>
  <c r="V75" i="49"/>
  <c r="M76" i="49"/>
  <c r="J76" i="45"/>
  <c r="V75" i="45"/>
  <c r="M76" i="45"/>
  <c r="J42" i="45"/>
  <c r="M42" i="45"/>
  <c r="J42" i="46"/>
  <c r="M42" i="46"/>
  <c r="L12" i="46"/>
  <c r="F12" i="46"/>
  <c r="F12" i="48"/>
  <c r="L12" i="48"/>
  <c r="F12" i="45"/>
  <c r="L12" i="45"/>
  <c r="F12" i="47"/>
  <c r="L12" i="47"/>
  <c r="F12" i="49"/>
  <c r="L12" i="49"/>
  <c r="V84" i="45"/>
  <c r="M85" i="45"/>
  <c r="J85" i="45"/>
  <c r="M87" i="48"/>
  <c r="P87" i="48" s="1"/>
  <c r="V84" i="48"/>
  <c r="J85" i="48"/>
  <c r="M85" i="48"/>
  <c r="M87" i="49"/>
  <c r="P87" i="49" s="1"/>
  <c r="J85" i="49"/>
  <c r="M85" i="49"/>
  <c r="V84" i="49"/>
  <c r="M87" i="46"/>
  <c r="P87" i="46" s="1"/>
  <c r="J85" i="46"/>
  <c r="M85" i="46"/>
  <c r="V84" i="46"/>
  <c r="J85" i="47"/>
  <c r="V84" i="47"/>
  <c r="M85" i="47"/>
  <c r="J26" i="45"/>
  <c r="V25" i="45"/>
  <c r="M26" i="45"/>
  <c r="J26" i="46"/>
  <c r="V25" i="46"/>
  <c r="M26" i="46"/>
  <c r="J18" i="45"/>
  <c r="M18" i="45"/>
  <c r="J18" i="49"/>
  <c r="M18" i="49"/>
  <c r="J65" i="47"/>
  <c r="M65" i="47"/>
  <c r="J65" i="49"/>
  <c r="M65" i="49"/>
  <c r="J65" i="48"/>
  <c r="M65" i="48"/>
  <c r="J57" i="45"/>
  <c r="M57" i="45"/>
  <c r="J46" i="46"/>
  <c r="M46" i="46"/>
  <c r="F67" i="46"/>
  <c r="L67" i="46"/>
  <c r="F67" i="48"/>
  <c r="L67" i="48"/>
  <c r="F67" i="49"/>
  <c r="L67" i="49"/>
  <c r="F67" i="45"/>
  <c r="L67" i="45"/>
  <c r="F67" i="47"/>
  <c r="L67" i="47"/>
  <c r="F81" i="49"/>
  <c r="L81" i="49"/>
  <c r="N81" i="49" s="1"/>
  <c r="F81" i="46"/>
  <c r="L81" i="46"/>
  <c r="F81" i="47"/>
  <c r="L81" i="47"/>
  <c r="N81" i="47" s="1"/>
  <c r="F81" i="48"/>
  <c r="L81" i="48"/>
  <c r="F81" i="45"/>
  <c r="L81" i="45"/>
  <c r="N81" i="45" s="1"/>
  <c r="J68" i="49"/>
  <c r="M68" i="49"/>
  <c r="J68" i="48"/>
  <c r="M68" i="48"/>
  <c r="V19" i="47"/>
  <c r="J20" i="47"/>
  <c r="M20" i="47"/>
  <c r="J20" i="48"/>
  <c r="M20" i="48"/>
  <c r="M20" i="46"/>
  <c r="J20" i="46"/>
  <c r="V19" i="46"/>
  <c r="V19" i="45"/>
  <c r="J20" i="45"/>
  <c r="M20" i="45"/>
  <c r="J50" i="45"/>
  <c r="M50" i="45"/>
  <c r="P50" i="45" s="1"/>
  <c r="J89" i="47"/>
  <c r="M89" i="47"/>
  <c r="V88" i="47"/>
  <c r="J89" i="48"/>
  <c r="V88" i="48"/>
  <c r="M89" i="48"/>
  <c r="P89" i="48" s="1"/>
  <c r="F33" i="47"/>
  <c r="L33" i="47"/>
  <c r="F91" i="46"/>
  <c r="L91" i="46"/>
  <c r="N91" i="46" s="1"/>
  <c r="F91" i="47"/>
  <c r="L91" i="47"/>
  <c r="F91" i="49"/>
  <c r="L91" i="49"/>
  <c r="N91" i="49" s="1"/>
  <c r="J72" i="47"/>
  <c r="M72" i="47"/>
  <c r="P72" i="47" s="1"/>
  <c r="F72" i="46"/>
  <c r="L72" i="46"/>
  <c r="J72" i="48"/>
  <c r="M72" i="48"/>
  <c r="L64" i="46"/>
  <c r="F64" i="46"/>
  <c r="S63" i="46"/>
  <c r="F64" i="45"/>
  <c r="L64" i="45"/>
  <c r="S63" i="45"/>
  <c r="L64" i="48"/>
  <c r="S63" i="48"/>
  <c r="F64" i="48"/>
  <c r="F64" i="49"/>
  <c r="S63" i="49"/>
  <c r="L64" i="49"/>
  <c r="S63" i="47"/>
  <c r="F64" i="47"/>
  <c r="L64" i="47"/>
  <c r="J36" i="45"/>
  <c r="M36" i="45"/>
  <c r="F17" i="46"/>
  <c r="L17" i="46"/>
  <c r="F17" i="47"/>
  <c r="L17" i="47"/>
  <c r="N17" i="47" s="1"/>
  <c r="D66" i="98" a="1"/>
  <c r="C67" i="95" a="1"/>
  <c r="C67" i="98" a="1"/>
  <c r="C14" i="96" a="1"/>
  <c r="C57" i="98" a="1"/>
  <c r="C6" i="50" a="1"/>
  <c r="C63" i="50" a="1"/>
  <c r="C35" i="97" a="1"/>
  <c r="D70" i="97" a="1"/>
  <c r="D8" i="97" a="1"/>
  <c r="D3" i="96" a="1"/>
  <c r="D71" i="95" a="1"/>
  <c r="D71" i="96" a="1"/>
  <c r="C2" i="96" a="1"/>
  <c r="D2" i="95" a="1"/>
  <c r="C71" i="95" a="1"/>
  <c r="C65" i="96" a="1"/>
  <c r="D39" i="98" a="1"/>
  <c r="D62" i="97" a="1"/>
  <c r="C23" i="97" a="1"/>
  <c r="D45" i="97" a="1"/>
  <c r="D32" i="98" a="1"/>
  <c r="C53" i="97" a="1"/>
  <c r="C66" i="97" a="1"/>
  <c r="D13" i="50" a="1"/>
  <c r="C68" i="96" a="1"/>
  <c r="C9" i="97" a="1"/>
  <c r="D61" i="98" a="1"/>
  <c r="C60" i="96" a="1"/>
  <c r="C49" i="95" a="1"/>
  <c r="C49" i="98" a="1"/>
  <c r="C58" i="50" a="1"/>
  <c r="D12" i="50" a="1"/>
  <c r="C16" i="96" a="1"/>
  <c r="D19" i="96" a="1"/>
  <c r="C17" i="95" a="1"/>
  <c r="D46" i="98" a="1"/>
  <c r="C3" i="97" a="1"/>
  <c r="C61" i="95" a="1"/>
  <c r="C54" i="98" a="1"/>
  <c r="D53" i="50" a="1"/>
  <c r="C15" i="97" a="1"/>
  <c r="C3" i="95" a="1"/>
  <c r="C3" i="96" a="1"/>
  <c r="C8" i="95" a="1"/>
  <c r="D17" i="98" a="1"/>
  <c r="D66" i="95" a="1"/>
  <c r="D58" i="95" a="1"/>
  <c r="C59" i="96" a="1"/>
  <c r="D37" i="98" a="1"/>
  <c r="C70" i="96" a="1"/>
  <c r="C70" i="97" a="1"/>
  <c r="D72" i="97" a="1"/>
  <c r="C50" i="96" a="1"/>
  <c r="D59" i="96" a="1"/>
  <c r="D59" i="98" a="1"/>
  <c r="C66" i="96" a="1"/>
  <c r="C66" i="50" a="1"/>
  <c r="D56" i="97" a="1"/>
  <c r="C14" i="98" a="1"/>
  <c r="C57" i="97" a="1"/>
  <c r="D7" i="95" a="1"/>
  <c r="C7" i="97" a="1"/>
  <c r="D12" i="97" a="1"/>
  <c r="C17" i="98" a="1"/>
  <c r="D70" i="98" a="1"/>
  <c r="C15" i="95" a="1"/>
  <c r="D33" i="98" a="1"/>
  <c r="D44" i="98" a="1"/>
  <c r="C8" i="98" a="1"/>
  <c r="C65" i="97" a="1"/>
  <c r="D39" i="97" a="1"/>
  <c r="D62" i="98" a="1"/>
  <c r="D23" i="96" a="1"/>
  <c r="D32" i="97" a="1"/>
  <c r="D69" i="96" a="1"/>
  <c r="D28" i="98" a="1"/>
  <c r="C66" i="98" a="1"/>
  <c r="C20" i="96" a="1"/>
  <c r="C12" i="50" a="1"/>
  <c r="C12" i="98" a="1"/>
  <c r="D13" i="95" a="1"/>
  <c r="C34" i="97" a="1"/>
  <c r="C68" i="97" a="1"/>
  <c r="D19" i="98" a="1"/>
  <c r="C67" i="96" a="1"/>
  <c r="D61" i="50" a="1"/>
  <c r="C60" i="98" a="1"/>
  <c r="C49" i="96" a="1"/>
  <c r="C58" i="97" a="1"/>
  <c r="C58" i="95" a="1"/>
  <c r="C7" i="98" a="1"/>
  <c r="D12" i="96" a="1"/>
  <c r="C16" i="97" a="1"/>
  <c r="D19" i="95" a="1"/>
  <c r="C17" i="97" a="1"/>
  <c r="C17" i="96" a="1"/>
  <c r="D46" i="97" a="1"/>
  <c r="C54" i="95" a="1"/>
  <c r="D54" i="50" a="1"/>
  <c r="D71" i="97" a="1"/>
  <c r="D63" i="96" a="1"/>
  <c r="D44" i="97" a="1"/>
  <c r="D48" i="96" a="1"/>
  <c r="C8" i="50" a="1"/>
  <c r="C55" i="97" a="1"/>
  <c r="D27" i="98" a="1"/>
  <c r="D17" i="96" a="1"/>
  <c r="D69" i="98" a="1"/>
  <c r="D58" i="98" a="1"/>
  <c r="C59" i="97" a="1"/>
  <c r="D40" i="97" a="1"/>
  <c r="D37" i="96" a="1"/>
  <c r="D13" i="96" a="1"/>
  <c r="D72" i="98" a="1"/>
  <c r="C50" i="50" a="1"/>
  <c r="C67" i="50" a="1"/>
  <c r="C56" i="98" a="1"/>
  <c r="D42" i="98" a="1"/>
  <c r="C63" i="95" a="1"/>
  <c r="D7" i="96" a="1"/>
  <c r="C19" i="97" a="1"/>
  <c r="D8" i="98" a="1"/>
  <c r="D8" i="96" a="1"/>
  <c r="D3" i="95" a="1"/>
  <c r="C15" i="96" a="1"/>
  <c r="D33" i="97" a="1"/>
  <c r="D71" i="50" a="1"/>
  <c r="D41" i="97" a="1"/>
  <c r="C8" i="97" a="1"/>
  <c r="D18" i="50" a="1"/>
  <c r="C65" i="50" a="1"/>
  <c r="C55" i="98" a="1"/>
  <c r="C56" i="50" a="1"/>
  <c r="D53" i="96" a="1"/>
  <c r="D17" i="97" a="1"/>
  <c r="C21" i="98" a="1"/>
  <c r="C20" i="98" a="1"/>
  <c r="C70" i="98" a="1"/>
  <c r="C68" i="50" a="1"/>
  <c r="C66" i="95" a="1"/>
  <c r="C14" i="95" a="1"/>
  <c r="D57" i="96" a="1"/>
  <c r="D61" i="96" a="1"/>
  <c r="C6" i="95" a="1"/>
  <c r="C60" i="95" a="1"/>
  <c r="C49" i="50" a="1"/>
  <c r="C58" i="96" a="1"/>
  <c r="D42" i="97" a="1"/>
  <c r="D35" i="96" a="1"/>
  <c r="D12" i="98" a="1"/>
  <c r="D12" i="95" a="1"/>
  <c r="D16" i="95" a="1"/>
  <c r="C3" i="98" a="1"/>
  <c r="C61" i="97" a="1"/>
  <c r="C54" i="96" a="1"/>
  <c r="C53" i="96" a="1"/>
  <c r="C15" i="98" a="1"/>
  <c r="D5" i="98" a="1"/>
  <c r="D48" i="97" a="1"/>
  <c r="C2" i="98" a="1"/>
  <c r="C2" i="97" a="1"/>
  <c r="C23" i="98" a="1"/>
  <c r="D45" i="98" a="1"/>
  <c r="D27" i="97" a="1"/>
  <c r="D58" i="96" a="1"/>
  <c r="C59" i="50" a="1"/>
  <c r="D40" i="98" a="1"/>
  <c r="D28" i="97" a="1"/>
  <c r="C22" i="98" a="1"/>
  <c r="C12" i="95" a="1"/>
  <c r="D37" i="97" a="1"/>
  <c r="D25" i="98" a="1"/>
  <c r="D25" i="97" a="1"/>
  <c r="C67" i="97" a="1"/>
  <c r="C14" i="50" a="1"/>
  <c r="C14" i="97" a="1"/>
  <c r="C6" i="96" a="1"/>
  <c r="C63" i="96" a="1"/>
  <c r="C19" i="98" a="1"/>
  <c r="D4" i="96" a="1"/>
  <c r="C4" i="98" a="1"/>
  <c r="D70" i="50" a="1"/>
  <c r="D3" i="50" a="1"/>
  <c r="C63" i="97" a="1"/>
  <c r="D48" i="98" a="1"/>
  <c r="C8" i="96" a="1"/>
  <c r="C71" i="98" a="1"/>
  <c r="C65" i="98" a="1"/>
  <c r="C55" i="96" a="1"/>
  <c r="D9" i="95" a="1"/>
  <c r="D22" i="97" a="1"/>
  <c r="C20" i="95" a="1"/>
  <c r="C12" i="97" a="1"/>
  <c r="D66" i="97" a="1"/>
  <c r="D36" i="96" a="1"/>
  <c r="D36" i="98" a="1"/>
  <c r="D36" i="97" a="1"/>
  <c r="D61" i="97" a="1"/>
  <c r="C60" i="50" a="1"/>
  <c r="C49" i="97" a="1"/>
  <c r="C58" i="98" a="1"/>
  <c r="C35" i="98" a="1"/>
  <c r="C16" i="98" a="1"/>
  <c r="D17" i="50" a="1"/>
  <c r="C4" i="97" a="1"/>
  <c r="C61" i="98" a="1"/>
  <c r="C54" i="97" a="1"/>
  <c r="C53" i="95" a="1"/>
  <c r="D15" i="50" a="1"/>
  <c r="D71" i="98" a="1"/>
  <c r="C63" i="98" a="1"/>
  <c r="D5" i="97" a="1"/>
  <c r="D41" i="98" a="1"/>
  <c r="C56" i="95" a="1"/>
  <c r="D27" i="96" a="1"/>
  <c r="C53" i="98" a="1"/>
  <c r="D9" i="96" a="1"/>
  <c r="D58" i="50" a="1"/>
  <c r="C59" i="98" a="1"/>
  <c r="D21" i="97" a="1"/>
  <c r="C12" i="96" a="1"/>
  <c r="C34" i="98" a="1"/>
  <c r="C68" i="98" a="1"/>
  <c r="C68" i="95" a="1"/>
  <c r="D72" i="50" a="1"/>
  <c r="C50" i="95" a="1"/>
  <c r="D59" i="50" a="1"/>
  <c r="D15" i="95" a="1"/>
  <c r="D70" i="96" a="1"/>
  <c r="D59" i="97" a="1"/>
  <c r="D31" i="97" a="1"/>
  <c r="C9" i="96" a="1"/>
  <c r="D67" i="97" a="1"/>
  <c r="D19" i="97" a="1"/>
  <c r="D49" i="96" a="1"/>
  <c r="D35" i="97" a="1"/>
  <c r="C51" i="98" a="1"/>
  <c r="C64" i="96" a="1"/>
  <c r="D52" i="95" a="1"/>
  <c r="C72" i="50" a="1"/>
  <c r="C13" i="97" a="1"/>
  <c r="C48" i="96" a="1"/>
  <c r="D72" i="95" a="1"/>
  <c r="C50" i="97" a="1"/>
  <c r="C50" i="98" a="1"/>
  <c r="D59" i="95" a="1"/>
  <c r="D15" i="98" a="1"/>
  <c r="C48" i="97" a="1"/>
  <c r="C13" i="96" a="1"/>
  <c r="C9" i="50" a="1"/>
  <c r="D67" i="50" a="1"/>
  <c r="D49" i="50" a="1"/>
  <c r="C51" i="97" a="1"/>
  <c r="C51" i="96" a="1"/>
  <c r="C64" i="95" a="1"/>
  <c r="C24" i="96" a="1"/>
  <c r="D56" i="96" a="1"/>
  <c r="C48" i="50" a="1"/>
  <c r="C70" i="50" a="1"/>
  <c r="D34" i="96" a="1"/>
  <c r="D15" i="96" a="1"/>
  <c r="C9" i="95" a="1"/>
  <c r="D67" i="95" a="1"/>
  <c r="D14" i="98" a="1"/>
  <c r="D49" i="95" a="1"/>
  <c r="C51" i="95" a="1"/>
  <c r="C64" i="50" a="1"/>
  <c r="C64" i="98" a="1"/>
  <c r="D15" i="97" a="1"/>
  <c r="D70" i="95" a="1"/>
  <c r="C72" i="97" a="1"/>
  <c r="C56" i="97" a="1"/>
  <c r="D26" i="98" a="1"/>
  <c r="D67" i="96" a="1"/>
  <c r="D38" i="98" a="1"/>
  <c r="D25" i="96" a="1"/>
  <c r="C70" i="95" a="1"/>
  <c r="D31" i="98" a="1"/>
  <c r="C9" i="98" a="1"/>
  <c r="D67" i="98" a="1"/>
  <c r="D14" i="50" a="1"/>
  <c r="D43" i="98" a="1"/>
  <c r="C51" i="50" a="1"/>
  <c r="C64" i="97" a="1"/>
  <c r="D52" i="50" a="1"/>
  <c r="C72" i="96" a="1"/>
  <c r="D56" i="95" a="1"/>
  <c r="C48" i="98" a="1"/>
  <c r="C48" i="95" a="1"/>
  <c r="C48" i="95" l="1"/>
  <c r="G33" i="92" s="1"/>
  <c r="C48" i="98"/>
  <c r="G63" i="89" s="1"/>
  <c r="D56" i="95"/>
  <c r="I41" i="92" s="1"/>
  <c r="C72" i="96"/>
  <c r="G70" i="91" s="1"/>
  <c r="D52" i="50"/>
  <c r="I33" i="93" s="1"/>
  <c r="C64" i="97"/>
  <c r="G79" i="90" s="1"/>
  <c r="C51" i="50"/>
  <c r="G32" i="93" s="1"/>
  <c r="D43" i="98"/>
  <c r="I58" i="89" s="1"/>
  <c r="D14" i="50"/>
  <c r="I25" i="93" s="1"/>
  <c r="D67" i="98"/>
  <c r="I82" i="89" s="1"/>
  <c r="C9" i="98"/>
  <c r="G24" i="89" s="1"/>
  <c r="D31" i="98"/>
  <c r="I46" i="89" s="1"/>
  <c r="C70" i="95"/>
  <c r="G53" i="92" s="1"/>
  <c r="D25" i="96"/>
  <c r="I38" i="91" s="1"/>
  <c r="D38" i="98"/>
  <c r="I53" i="89" s="1"/>
  <c r="D67" i="96"/>
  <c r="I65" i="91" s="1"/>
  <c r="D26" i="98"/>
  <c r="I41" i="89" s="1"/>
  <c r="C56" i="97"/>
  <c r="G71" i="90" s="1"/>
  <c r="C72" i="97"/>
  <c r="G87" i="90" s="1"/>
  <c r="D70" i="95"/>
  <c r="I53" i="92" s="1"/>
  <c r="D15" i="97"/>
  <c r="I30" i="90" s="1"/>
  <c r="C64" i="98"/>
  <c r="G79" i="89" s="1"/>
  <c r="C64" i="50"/>
  <c r="G42" i="93" s="1"/>
  <c r="C51" i="95"/>
  <c r="G36" i="92" s="1"/>
  <c r="D49" i="95"/>
  <c r="I34" i="92" s="1"/>
  <c r="D14" i="98"/>
  <c r="I29" i="89" s="1"/>
  <c r="D67" i="95"/>
  <c r="I50" i="92" s="1"/>
  <c r="C9" i="95"/>
  <c r="G22" i="92" s="1"/>
  <c r="D15" i="96"/>
  <c r="I28" i="91" s="1"/>
  <c r="D34" i="96"/>
  <c r="I41" i="91" s="1"/>
  <c r="C70" i="50"/>
  <c r="G48" i="93" s="1"/>
  <c r="C48" i="50"/>
  <c r="G29" i="93" s="1"/>
  <c r="D56" i="96"/>
  <c r="I55" i="91" s="1"/>
  <c r="C24" i="96"/>
  <c r="G37" i="91" s="1"/>
  <c r="C64" i="95"/>
  <c r="G47" i="92" s="1"/>
  <c r="C51" i="96"/>
  <c r="G50" i="91" s="1"/>
  <c r="C51" i="97"/>
  <c r="G66" i="90" s="1"/>
  <c r="D49" i="50"/>
  <c r="I30" i="93" s="1"/>
  <c r="D67" i="50"/>
  <c r="I45" i="93" s="1"/>
  <c r="C9" i="50"/>
  <c r="G21" i="93" s="1"/>
  <c r="C13" i="96"/>
  <c r="G26" i="91" s="1"/>
  <c r="C48" i="97"/>
  <c r="G63" i="90" s="1"/>
  <c r="D15" i="98"/>
  <c r="I30" i="89" s="1"/>
  <c r="D59" i="95"/>
  <c r="I43" i="92" s="1"/>
  <c r="C50" i="98"/>
  <c r="G65" i="89" s="1"/>
  <c r="C50" i="97"/>
  <c r="G65" i="90" s="1"/>
  <c r="D72" i="95"/>
  <c r="I55" i="92" s="1"/>
  <c r="C48" i="96"/>
  <c r="G47" i="91" s="1"/>
  <c r="C13" i="97"/>
  <c r="G28" i="90" s="1"/>
  <c r="C72" i="50"/>
  <c r="G50" i="93" s="1"/>
  <c r="D52" i="95"/>
  <c r="I37" i="92" s="1"/>
  <c r="C64" i="96"/>
  <c r="G62" i="91" s="1"/>
  <c r="C51" i="98"/>
  <c r="G66" i="89" s="1"/>
  <c r="D35" i="97"/>
  <c r="I50" i="90" s="1"/>
  <c r="D49" i="96"/>
  <c r="I48" i="91" s="1"/>
  <c r="D19" i="97"/>
  <c r="I34" i="90" s="1"/>
  <c r="D67" i="97"/>
  <c r="I82" i="90" s="1"/>
  <c r="C9" i="96"/>
  <c r="G23" i="91" s="1"/>
  <c r="D31" i="97"/>
  <c r="I46" i="90" s="1"/>
  <c r="D59" i="97"/>
  <c r="I74" i="90" s="1"/>
  <c r="D70" i="96"/>
  <c r="I68" i="91" s="1"/>
  <c r="D15" i="95"/>
  <c r="I27" i="92" s="1"/>
  <c r="D59" i="50"/>
  <c r="I38" i="93" s="1"/>
  <c r="C50" i="95"/>
  <c r="G35" i="92" s="1"/>
  <c r="D72" i="50"/>
  <c r="I50" i="93" s="1"/>
  <c r="C68" i="95"/>
  <c r="G51" i="92" s="1"/>
  <c r="C68" i="98"/>
  <c r="G83" i="89" s="1"/>
  <c r="C34" i="98"/>
  <c r="G49" i="89" s="1"/>
  <c r="C12" i="96"/>
  <c r="G25" i="91" s="1"/>
  <c r="D21" i="97"/>
  <c r="I36" i="90" s="1"/>
  <c r="C59" i="98"/>
  <c r="G74" i="89" s="1"/>
  <c r="D58" i="50"/>
  <c r="I37" i="93" s="1"/>
  <c r="D9" i="96"/>
  <c r="I23" i="91" s="1"/>
  <c r="C53" i="98"/>
  <c r="G68" i="89" s="1"/>
  <c r="D27" i="96"/>
  <c r="I40" i="91" s="1"/>
  <c r="C56" i="95"/>
  <c r="G41" i="92" s="1"/>
  <c r="D41" i="98"/>
  <c r="I56" i="89" s="1"/>
  <c r="D5" i="97"/>
  <c r="I20" i="90" s="1"/>
  <c r="C63" i="98"/>
  <c r="G78" i="89" s="1"/>
  <c r="D71" i="98"/>
  <c r="I86" i="89" s="1"/>
  <c r="D15" i="50"/>
  <c r="I26" i="93" s="1"/>
  <c r="C53" i="95"/>
  <c r="G38" i="92" s="1"/>
  <c r="C54" i="97"/>
  <c r="G69" i="90" s="1"/>
  <c r="C61" i="98"/>
  <c r="G76" i="89" s="1"/>
  <c r="C4" i="97"/>
  <c r="G19" i="90" s="1"/>
  <c r="D17" i="50"/>
  <c r="I27" i="93" s="1"/>
  <c r="C16" i="98"/>
  <c r="G31" i="89" s="1"/>
  <c r="C35" i="98"/>
  <c r="G50" i="89" s="1"/>
  <c r="C58" i="98"/>
  <c r="G73" i="89" s="1"/>
  <c r="C49" i="97"/>
  <c r="G64" i="90" s="1"/>
  <c r="C60" i="50"/>
  <c r="G39" i="93" s="1"/>
  <c r="D61" i="97"/>
  <c r="I76" i="90" s="1"/>
  <c r="D36" i="97"/>
  <c r="I51" i="90" s="1"/>
  <c r="D36" i="98"/>
  <c r="I51" i="89" s="1"/>
  <c r="D36" i="96"/>
  <c r="I43" i="91" s="1"/>
  <c r="D66" i="97"/>
  <c r="I81" i="90" s="1"/>
  <c r="C12" i="97"/>
  <c r="G27" i="90" s="1"/>
  <c r="C20" i="95"/>
  <c r="G32" i="92" s="1"/>
  <c r="D22" i="97"/>
  <c r="I37" i="90" s="1"/>
  <c r="D9" i="95"/>
  <c r="I22" i="92" s="1"/>
  <c r="C55" i="96"/>
  <c r="G54" i="91" s="1"/>
  <c r="C65" i="98"/>
  <c r="G80" i="89" s="1"/>
  <c r="C71" i="98"/>
  <c r="G86" i="89" s="1"/>
  <c r="C8" i="96"/>
  <c r="G22" i="91" s="1"/>
  <c r="D48" i="98"/>
  <c r="I63" i="89" s="1"/>
  <c r="C63" i="97"/>
  <c r="G78" i="90" s="1"/>
  <c r="D3" i="50"/>
  <c r="I17" i="93" s="1"/>
  <c r="D70" i="50"/>
  <c r="I48" i="93" s="1"/>
  <c r="C4" i="98"/>
  <c r="G19" i="89" s="1"/>
  <c r="D4" i="96"/>
  <c r="I19" i="91" s="1"/>
  <c r="C19" i="98"/>
  <c r="G34" i="89" s="1"/>
  <c r="C63" i="96"/>
  <c r="G61" i="91" s="1"/>
  <c r="C6" i="96"/>
  <c r="G20" i="91" s="1"/>
  <c r="C14" i="97"/>
  <c r="G29" i="90" s="1"/>
  <c r="C14" i="50"/>
  <c r="G25" i="93" s="1"/>
  <c r="C67" i="97"/>
  <c r="G82" i="90" s="1"/>
  <c r="D25" i="97"/>
  <c r="I40" i="90" s="1"/>
  <c r="D25" i="98"/>
  <c r="I40" i="89" s="1"/>
  <c r="D37" i="97"/>
  <c r="I52" i="90" s="1"/>
  <c r="C12" i="95"/>
  <c r="G24" i="92" s="1"/>
  <c r="C22" i="98"/>
  <c r="G37" i="89" s="1"/>
  <c r="D28" i="97"/>
  <c r="I43" i="90" s="1"/>
  <c r="D40" i="98"/>
  <c r="I55" i="89" s="1"/>
  <c r="C59" i="50"/>
  <c r="G38" i="93" s="1"/>
  <c r="D58" i="96"/>
  <c r="I57" i="91" s="1"/>
  <c r="D27" i="97"/>
  <c r="I42" i="90" s="1"/>
  <c r="D45" i="98"/>
  <c r="I60" i="89" s="1"/>
  <c r="C23" i="98"/>
  <c r="G38" i="89" s="1"/>
  <c r="C2" i="97"/>
  <c r="G17" i="90" s="1"/>
  <c r="C2" i="98"/>
  <c r="G17" i="89" s="1"/>
  <c r="D48" i="97"/>
  <c r="I63" i="90" s="1"/>
  <c r="D5" i="98"/>
  <c r="I20" i="89" s="1"/>
  <c r="C15" i="98"/>
  <c r="G30" i="89" s="1"/>
  <c r="C53" i="96"/>
  <c r="G52" i="91" s="1"/>
  <c r="C54" i="96"/>
  <c r="G53" i="91" s="1"/>
  <c r="C61" i="97"/>
  <c r="G76" i="90" s="1"/>
  <c r="C3" i="98"/>
  <c r="G18" i="89" s="1"/>
  <c r="D16" i="95"/>
  <c r="I28" i="92" s="1"/>
  <c r="D12" i="95"/>
  <c r="I24" i="92" s="1"/>
  <c r="D12" i="98"/>
  <c r="I27" i="89" s="1"/>
  <c r="D35" i="96"/>
  <c r="I42" i="91" s="1"/>
  <c r="D42" i="97"/>
  <c r="I57" i="90" s="1"/>
  <c r="C58" i="96"/>
  <c r="G57" i="91" s="1"/>
  <c r="C49" i="50"/>
  <c r="G30" i="93" s="1"/>
  <c r="C60" i="95"/>
  <c r="G44" i="92" s="1"/>
  <c r="C6" i="95"/>
  <c r="G19" i="92" s="1"/>
  <c r="D61" i="96"/>
  <c r="I60" i="91" s="1"/>
  <c r="D57" i="96"/>
  <c r="I56" i="91" s="1"/>
  <c r="C14" i="95"/>
  <c r="G26" i="92" s="1"/>
  <c r="C66" i="95"/>
  <c r="G49" i="92" s="1"/>
  <c r="C68" i="50"/>
  <c r="G46" i="93" s="1"/>
  <c r="C70" i="98"/>
  <c r="G85" i="89" s="1"/>
  <c r="C20" i="98"/>
  <c r="G35" i="89" s="1"/>
  <c r="C21" i="98"/>
  <c r="G36" i="89" s="1"/>
  <c r="D17" i="97"/>
  <c r="I32" i="90" s="1"/>
  <c r="D53" i="96"/>
  <c r="I52" i="91" s="1"/>
  <c r="C56" i="50"/>
  <c r="G36" i="93" s="1"/>
  <c r="C55" i="98"/>
  <c r="G70" i="89" s="1"/>
  <c r="C65" i="50"/>
  <c r="G43" i="93" s="1"/>
  <c r="D18" i="50"/>
  <c r="I28" i="93" s="1"/>
  <c r="C8" i="97"/>
  <c r="G23" i="90" s="1"/>
  <c r="D41" i="97"/>
  <c r="I56" i="90" s="1"/>
  <c r="D71" i="50"/>
  <c r="I49" i="93" s="1"/>
  <c r="D33" i="97"/>
  <c r="I48" i="90" s="1"/>
  <c r="C15" i="96"/>
  <c r="G28" i="91" s="1"/>
  <c r="D3" i="95"/>
  <c r="I18" i="92" s="1"/>
  <c r="D8" i="96"/>
  <c r="I22" i="91" s="1"/>
  <c r="D8" i="98"/>
  <c r="I23" i="89" s="1"/>
  <c r="C19" i="97"/>
  <c r="G34" i="90" s="1"/>
  <c r="D7" i="96"/>
  <c r="I21" i="91" s="1"/>
  <c r="C63" i="95"/>
  <c r="G46" i="92" s="1"/>
  <c r="D42" i="98"/>
  <c r="I57" i="89" s="1"/>
  <c r="C56" i="98"/>
  <c r="G71" i="89" s="1"/>
  <c r="C67" i="50"/>
  <c r="G45" i="93" s="1"/>
  <c r="C50" i="50"/>
  <c r="G31" i="93" s="1"/>
  <c r="D72" i="98"/>
  <c r="I87" i="89" s="1"/>
  <c r="D13" i="96"/>
  <c r="I26" i="91" s="1"/>
  <c r="D37" i="96"/>
  <c r="I44" i="91" s="1"/>
  <c r="D40" i="97"/>
  <c r="I55" i="90" s="1"/>
  <c r="C59" i="97"/>
  <c r="G74" i="90" s="1"/>
  <c r="D58" i="98"/>
  <c r="I73" i="89" s="1"/>
  <c r="D69" i="98"/>
  <c r="I84" i="89" s="1"/>
  <c r="D17" i="96"/>
  <c r="I30" i="91" s="1"/>
  <c r="D27" i="98"/>
  <c r="I42" i="89" s="1"/>
  <c r="C55" i="97"/>
  <c r="G70" i="90" s="1"/>
  <c r="C8" i="50"/>
  <c r="G20" i="93" s="1"/>
  <c r="D48" i="96"/>
  <c r="I47" i="91" s="1"/>
  <c r="D44" i="97"/>
  <c r="I59" i="90" s="1"/>
  <c r="D63" i="96"/>
  <c r="I61" i="91" s="1"/>
  <c r="D71" i="97"/>
  <c r="I86" i="90" s="1"/>
  <c r="D54" i="50"/>
  <c r="I35" i="93" s="1"/>
  <c r="C54" i="95"/>
  <c r="G39" i="92" s="1"/>
  <c r="D46" i="97"/>
  <c r="I61" i="90" s="1"/>
  <c r="C17" i="96"/>
  <c r="G30" i="91" s="1"/>
  <c r="C17" i="97"/>
  <c r="G32" i="90" s="1"/>
  <c r="D19" i="95"/>
  <c r="I31" i="92" s="1"/>
  <c r="C16" i="97"/>
  <c r="G31" i="90" s="1"/>
  <c r="D12" i="96"/>
  <c r="I25" i="91" s="1"/>
  <c r="C7" i="98"/>
  <c r="G22" i="89" s="1"/>
  <c r="C58" i="95"/>
  <c r="G42" i="92" s="1"/>
  <c r="C58" i="97"/>
  <c r="G73" i="90" s="1"/>
  <c r="C49" i="96"/>
  <c r="G48" i="91" s="1"/>
  <c r="C60" i="98"/>
  <c r="G75" i="89" s="1"/>
  <c r="D61" i="50"/>
  <c r="I40" i="93" s="1"/>
  <c r="C67" i="96"/>
  <c r="G65" i="91" s="1"/>
  <c r="D19" i="98"/>
  <c r="I34" i="89" s="1"/>
  <c r="C68" i="97"/>
  <c r="G83" i="90" s="1"/>
  <c r="C34" i="97"/>
  <c r="G49" i="90" s="1"/>
  <c r="D13" i="95"/>
  <c r="I25" i="92" s="1"/>
  <c r="C12" i="98"/>
  <c r="G27" i="89" s="1"/>
  <c r="C12" i="50"/>
  <c r="G23" i="93" s="1"/>
  <c r="C20" i="96"/>
  <c r="G33" i="91" s="1"/>
  <c r="C66" i="98"/>
  <c r="G81" i="89" s="1"/>
  <c r="D28" i="98"/>
  <c r="I43" i="89" s="1"/>
  <c r="D69" i="96"/>
  <c r="I67" i="91" s="1"/>
  <c r="D32" i="97"/>
  <c r="I47" i="90" s="1"/>
  <c r="D23" i="96"/>
  <c r="I36" i="91" s="1"/>
  <c r="D62" i="98"/>
  <c r="I77" i="89" s="1"/>
  <c r="D39" i="97"/>
  <c r="I54" i="90" s="1"/>
  <c r="C65" i="97"/>
  <c r="G80" i="90" s="1"/>
  <c r="C8" i="98"/>
  <c r="G23" i="89" s="1"/>
  <c r="D44" i="98"/>
  <c r="I59" i="89" s="1"/>
  <c r="D33" i="98"/>
  <c r="I48" i="89" s="1"/>
  <c r="C15" i="95"/>
  <c r="G27" i="92" s="1"/>
  <c r="D70" i="98"/>
  <c r="I85" i="89" s="1"/>
  <c r="C17" i="98"/>
  <c r="G32" i="89" s="1"/>
  <c r="D12" i="97"/>
  <c r="I27" i="90" s="1"/>
  <c r="C7" i="97"/>
  <c r="G22" i="90" s="1"/>
  <c r="D7" i="95"/>
  <c r="I20" i="92" s="1"/>
  <c r="C57" i="97"/>
  <c r="G72" i="90" s="1"/>
  <c r="C14" i="98"/>
  <c r="G29" i="89" s="1"/>
  <c r="D56" i="97"/>
  <c r="I71" i="90" s="1"/>
  <c r="C66" i="50"/>
  <c r="G44" i="93" s="1"/>
  <c r="C66" i="96"/>
  <c r="G64" i="91" s="1"/>
  <c r="D59" i="98"/>
  <c r="I74" i="89" s="1"/>
  <c r="D59" i="96"/>
  <c r="I58" i="91" s="1"/>
  <c r="C50" i="96"/>
  <c r="G49" i="91" s="1"/>
  <c r="D72" i="97"/>
  <c r="I87" i="90" s="1"/>
  <c r="C70" i="97"/>
  <c r="G85" i="90" s="1"/>
  <c r="C70" i="96"/>
  <c r="G68" i="91" s="1"/>
  <c r="D37" i="98"/>
  <c r="I52" i="89" s="1"/>
  <c r="C59" i="96"/>
  <c r="G58" i="91" s="1"/>
  <c r="D58" i="95"/>
  <c r="I42" i="92" s="1"/>
  <c r="D66" i="95"/>
  <c r="I49" i="92" s="1"/>
  <c r="D17" i="98"/>
  <c r="I32" i="89" s="1"/>
  <c r="C8" i="95"/>
  <c r="G21" i="92" s="1"/>
  <c r="C3" i="96"/>
  <c r="G18" i="91" s="1"/>
  <c r="C3" i="95"/>
  <c r="G18" i="92" s="1"/>
  <c r="C15" i="97"/>
  <c r="G30" i="90" s="1"/>
  <c r="D53" i="50"/>
  <c r="I34" i="93" s="1"/>
  <c r="C54" i="98"/>
  <c r="G69" i="89" s="1"/>
  <c r="C61" i="95"/>
  <c r="G45" i="92" s="1"/>
  <c r="C3" i="97"/>
  <c r="G18" i="90" s="1"/>
  <c r="D46" i="98"/>
  <c r="I61" i="89" s="1"/>
  <c r="C17" i="95"/>
  <c r="G29" i="92" s="1"/>
  <c r="D19" i="96"/>
  <c r="I32" i="91" s="1"/>
  <c r="C16" i="96"/>
  <c r="G29" i="91" s="1"/>
  <c r="D12" i="50"/>
  <c r="I23" i="93" s="1"/>
  <c r="C58" i="50"/>
  <c r="G37" i="93" s="1"/>
  <c r="C49" i="98"/>
  <c r="G64" i="89" s="1"/>
  <c r="C49" i="95"/>
  <c r="G34" i="92" s="1"/>
  <c r="C60" i="96"/>
  <c r="G59" i="91" s="1"/>
  <c r="D61" i="98"/>
  <c r="I76" i="89" s="1"/>
  <c r="C9" i="97"/>
  <c r="G24" i="90" s="1"/>
  <c r="C68" i="96"/>
  <c r="G66" i="91" s="1"/>
  <c r="D13" i="50"/>
  <c r="I24" i="93" s="1"/>
  <c r="C66" i="97"/>
  <c r="G81" i="90" s="1"/>
  <c r="C53" i="97"/>
  <c r="G68" i="90" s="1"/>
  <c r="D32" i="98"/>
  <c r="I47" i="89" s="1"/>
  <c r="D45" i="97"/>
  <c r="I60" i="90" s="1"/>
  <c r="C23" i="97"/>
  <c r="G38" i="90" s="1"/>
  <c r="D62" i="97"/>
  <c r="I77" i="90" s="1"/>
  <c r="D39" i="98"/>
  <c r="I54" i="89" s="1"/>
  <c r="C65" i="96"/>
  <c r="G63" i="91" s="1"/>
  <c r="C71" i="95"/>
  <c r="G54" i="92" s="1"/>
  <c r="D2" i="95"/>
  <c r="I17" i="92" s="1"/>
  <c r="C2" i="96"/>
  <c r="G17" i="91" s="1"/>
  <c r="D71" i="96"/>
  <c r="I69" i="91" s="1"/>
  <c r="D71" i="95"/>
  <c r="I54" i="92" s="1"/>
  <c r="D3" i="96"/>
  <c r="I18" i="91" s="1"/>
  <c r="D8" i="97"/>
  <c r="I23" i="90" s="1"/>
  <c r="D70" i="97"/>
  <c r="I85" i="90" s="1"/>
  <c r="C35" i="97"/>
  <c r="G50" i="90" s="1"/>
  <c r="C63" i="50"/>
  <c r="G41" i="93" s="1"/>
  <c r="C6" i="50"/>
  <c r="G18" i="93" s="1"/>
  <c r="C57" i="98"/>
  <c r="G72" i="89" s="1"/>
  <c r="C14" i="96"/>
  <c r="G27" i="91" s="1"/>
  <c r="C67" i="98"/>
  <c r="G82" i="89" s="1"/>
  <c r="C67" i="95"/>
  <c r="G50" i="92" s="1"/>
  <c r="D66" i="98"/>
  <c r="I81" i="89" s="1"/>
  <c r="N64" i="48"/>
  <c r="N64" i="45"/>
  <c r="P72" i="48"/>
  <c r="N91" i="47"/>
  <c r="P68" i="49"/>
  <c r="Q74" i="49" s="1"/>
  <c r="N81" i="46"/>
  <c r="P18" i="49"/>
  <c r="P85" i="45"/>
  <c r="N12" i="45"/>
  <c r="P42" i="45"/>
  <c r="N89" i="48"/>
  <c r="P35" i="47"/>
  <c r="P85" i="47"/>
  <c r="P36" i="45"/>
  <c r="N72" i="46"/>
  <c r="P20" i="46"/>
  <c r="N67" i="48"/>
  <c r="P65" i="48"/>
  <c r="P18" i="45"/>
  <c r="W25" i="45"/>
  <c r="P85" i="48"/>
  <c r="W84" i="45"/>
  <c r="P20" i="47"/>
  <c r="N67" i="47"/>
  <c r="N67" i="46"/>
  <c r="P65" i="49"/>
  <c r="P45" i="47"/>
  <c r="N89" i="49"/>
  <c r="O77" i="48"/>
  <c r="N64" i="49"/>
  <c r="N33" i="47"/>
  <c r="O33" i="47" s="1"/>
  <c r="N81" i="48"/>
  <c r="P85" i="49"/>
  <c r="W34" i="45"/>
  <c r="O21" i="45"/>
  <c r="N64" i="46"/>
  <c r="P20" i="45"/>
  <c r="N67" i="45"/>
  <c r="P46" i="46"/>
  <c r="P76" i="46"/>
  <c r="P76" i="48"/>
  <c r="N66" i="45"/>
  <c r="N64" i="47"/>
  <c r="N17" i="46"/>
  <c r="P89" i="47"/>
  <c r="W19" i="45"/>
  <c r="W2" i="45"/>
  <c r="X2" i="45" s="1"/>
  <c r="P20" i="48"/>
  <c r="P68" i="48"/>
  <c r="P65" i="47"/>
  <c r="P26" i="46"/>
  <c r="P85" i="46"/>
  <c r="N12" i="47"/>
  <c r="P42" i="46"/>
  <c r="N67" i="49"/>
  <c r="P57" i="45"/>
  <c r="N86" i="48"/>
  <c r="N86" i="45"/>
  <c r="N45" i="45"/>
  <c r="T19" i="49"/>
  <c r="N16" i="47"/>
  <c r="P29" i="46"/>
  <c r="N76" i="45"/>
  <c r="P74" i="49"/>
  <c r="P12" i="47"/>
  <c r="W22" i="45"/>
  <c r="N69" i="45"/>
  <c r="P37" i="47"/>
  <c r="N72" i="48"/>
  <c r="P54" i="45"/>
  <c r="Q54" i="45" s="1"/>
  <c r="P7" i="46"/>
  <c r="Q6" i="46" s="1"/>
  <c r="N80" i="45"/>
  <c r="P90" i="45"/>
  <c r="P20" i="49"/>
  <c r="N69" i="48"/>
  <c r="N78" i="45"/>
  <c r="N6" i="46"/>
  <c r="P23" i="49"/>
  <c r="N21" i="45"/>
  <c r="O20" i="45" s="1"/>
  <c r="N46" i="45"/>
  <c r="N74" i="45"/>
  <c r="N77" i="49"/>
  <c r="P48" i="46"/>
  <c r="P48" i="45"/>
  <c r="P48" i="47"/>
  <c r="P83" i="46"/>
  <c r="T9" i="49"/>
  <c r="O78" i="48"/>
  <c r="Q4" i="46"/>
  <c r="Q3" i="46"/>
  <c r="N16" i="46"/>
  <c r="N27" i="48"/>
  <c r="P30" i="46"/>
  <c r="T75" i="49"/>
  <c r="P12" i="48"/>
  <c r="N71" i="47"/>
  <c r="N11" i="47"/>
  <c r="P64" i="45"/>
  <c r="N80" i="46"/>
  <c r="P4" i="49"/>
  <c r="W9" i="45"/>
  <c r="N6" i="45"/>
  <c r="P6" i="47"/>
  <c r="N26" i="45"/>
  <c r="N80" i="47"/>
  <c r="W55" i="45"/>
  <c r="N8" i="47"/>
  <c r="W47" i="45"/>
  <c r="N18" i="46"/>
  <c r="N85" i="46"/>
  <c r="T84" i="49"/>
  <c r="Q8" i="45"/>
  <c r="Q11" i="49"/>
  <c r="Q13" i="49"/>
  <c r="Q12" i="49"/>
  <c r="Q10" i="49"/>
  <c r="P35" i="46"/>
  <c r="P35" i="45"/>
  <c r="P49" i="46"/>
  <c r="N16" i="48"/>
  <c r="N30" i="45"/>
  <c r="O29" i="45" s="1"/>
  <c r="P39" i="46"/>
  <c r="P52" i="45"/>
  <c r="N76" i="49"/>
  <c r="P37" i="46"/>
  <c r="P59" i="45"/>
  <c r="N32" i="45"/>
  <c r="N82" i="49"/>
  <c r="P24" i="49"/>
  <c r="N3" i="46"/>
  <c r="N3" i="45"/>
  <c r="P64" i="46"/>
  <c r="P7" i="45"/>
  <c r="Q6" i="45" s="1"/>
  <c r="N69" i="47"/>
  <c r="N4" i="45"/>
  <c r="P16" i="45"/>
  <c r="P46" i="47"/>
  <c r="N80" i="48"/>
  <c r="P56" i="45"/>
  <c r="N74" i="47"/>
  <c r="N8" i="48"/>
  <c r="P73" i="47"/>
  <c r="N18" i="48"/>
  <c r="N83" i="48"/>
  <c r="O76" i="48" s="1"/>
  <c r="O21" i="49"/>
  <c r="O20" i="49"/>
  <c r="O12" i="47"/>
  <c r="O13" i="47"/>
  <c r="O10" i="47"/>
  <c r="O11" i="47"/>
  <c r="O14" i="47"/>
  <c r="N66" i="49"/>
  <c r="N86" i="49"/>
  <c r="N89" i="45"/>
  <c r="N27" i="45"/>
  <c r="W38" i="45"/>
  <c r="P23" i="46"/>
  <c r="P69" i="47"/>
  <c r="Q66" i="47" s="1"/>
  <c r="N72" i="49"/>
  <c r="N71" i="45"/>
  <c r="N11" i="46"/>
  <c r="P54" i="46"/>
  <c r="Q54" i="46" s="1"/>
  <c r="P90" i="49"/>
  <c r="Q91" i="49" s="1"/>
  <c r="P44" i="46"/>
  <c r="N20" i="47"/>
  <c r="P4" i="48"/>
  <c r="P11" i="47"/>
  <c r="P11" i="45"/>
  <c r="N26" i="46"/>
  <c r="W15" i="45"/>
  <c r="P10" i="47"/>
  <c r="N72" i="45"/>
  <c r="N85" i="49"/>
  <c r="Q14" i="49"/>
  <c r="P91" i="45"/>
  <c r="P17" i="47"/>
  <c r="P49" i="47"/>
  <c r="P52" i="46"/>
  <c r="N76" i="46"/>
  <c r="P74" i="45"/>
  <c r="P23" i="47"/>
  <c r="P37" i="45"/>
  <c r="N71" i="46"/>
  <c r="N11" i="49"/>
  <c r="O12" i="49" s="1"/>
  <c r="P64" i="47"/>
  <c r="P80" i="47"/>
  <c r="P90" i="46"/>
  <c r="P44" i="45"/>
  <c r="P70" i="49"/>
  <c r="W88" i="45"/>
  <c r="N23" i="47"/>
  <c r="N23" i="46"/>
  <c r="P26" i="48"/>
  <c r="N21" i="46"/>
  <c r="P16" i="47"/>
  <c r="P16" i="46"/>
  <c r="N10" i="45"/>
  <c r="P78" i="49"/>
  <c r="N85" i="47"/>
  <c r="Q32" i="45"/>
  <c r="Q33" i="45"/>
  <c r="Q29" i="45"/>
  <c r="Q30" i="45"/>
  <c r="P26" i="45"/>
  <c r="N12" i="48"/>
  <c r="W75" i="45"/>
  <c r="N86" i="46"/>
  <c r="N45" i="46"/>
  <c r="P17" i="48"/>
  <c r="Q18" i="48" s="1"/>
  <c r="N16" i="45"/>
  <c r="N16" i="49"/>
  <c r="N27" i="47"/>
  <c r="O26" i="47" s="1"/>
  <c r="N83" i="45"/>
  <c r="O83" i="45" s="1"/>
  <c r="P39" i="45"/>
  <c r="P83" i="48"/>
  <c r="Q79" i="48" s="1"/>
  <c r="P87" i="47"/>
  <c r="P43" i="46"/>
  <c r="P32" i="47"/>
  <c r="P79" i="45"/>
  <c r="P51" i="46"/>
  <c r="N82" i="46"/>
  <c r="N11" i="45"/>
  <c r="P58" i="45"/>
  <c r="N20" i="48"/>
  <c r="N78" i="48"/>
  <c r="O82" i="48" s="1"/>
  <c r="Q89" i="49"/>
  <c r="P89" i="45"/>
  <c r="N23" i="45"/>
  <c r="N10" i="46"/>
  <c r="P10" i="48"/>
  <c r="Q60" i="46"/>
  <c r="N73" i="46"/>
  <c r="N18" i="45"/>
  <c r="P72" i="46"/>
  <c r="N83" i="49"/>
  <c r="N83" i="47"/>
  <c r="W31" i="45"/>
  <c r="X31" i="45" s="1"/>
  <c r="Q3" i="47"/>
  <c r="V2" i="47" s="1"/>
  <c r="W88" i="47" s="1"/>
  <c r="O32" i="47"/>
  <c r="O81" i="48"/>
  <c r="P76" i="45"/>
  <c r="P76" i="49"/>
  <c r="P76" i="47"/>
  <c r="N66" i="47"/>
  <c r="P91" i="46"/>
  <c r="N89" i="46"/>
  <c r="N89" i="47"/>
  <c r="P49" i="45"/>
  <c r="T15" i="49"/>
  <c r="O79" i="47"/>
  <c r="P74" i="48"/>
  <c r="P23" i="45"/>
  <c r="N11" i="48"/>
  <c r="W53" i="45"/>
  <c r="X53" i="45" s="1"/>
  <c r="N4" i="47"/>
  <c r="N4" i="48"/>
  <c r="N20" i="46"/>
  <c r="O21" i="46" s="1"/>
  <c r="P69" i="49"/>
  <c r="Q72" i="49" s="1"/>
  <c r="N70" i="45"/>
  <c r="N4" i="46"/>
  <c r="P60" i="45"/>
  <c r="N23" i="48"/>
  <c r="P26" i="47"/>
  <c r="N21" i="47"/>
  <c r="Q17" i="48"/>
  <c r="P16" i="49"/>
  <c r="Q56" i="46"/>
  <c r="N74" i="49"/>
  <c r="N65" i="48"/>
  <c r="N77" i="47"/>
  <c r="P78" i="45"/>
  <c r="W28" i="45"/>
  <c r="X28" i="45" s="1"/>
  <c r="N12" i="49"/>
  <c r="N12" i="46"/>
  <c r="N66" i="46"/>
  <c r="P91" i="48"/>
  <c r="N86" i="47"/>
  <c r="T88" i="49"/>
  <c r="P17" i="49"/>
  <c r="N83" i="46"/>
  <c r="P43" i="45"/>
  <c r="P59" i="46"/>
  <c r="Q57" i="46" s="1"/>
  <c r="N32" i="46"/>
  <c r="P79" i="46"/>
  <c r="P51" i="45"/>
  <c r="N82" i="47"/>
  <c r="O83" i="47" s="1"/>
  <c r="P3" i="48"/>
  <c r="W5" i="45"/>
  <c r="X5" i="45" s="1"/>
  <c r="W63" i="45"/>
  <c r="P90" i="47"/>
  <c r="Q91" i="47" s="1"/>
  <c r="P90" i="48"/>
  <c r="Q89" i="48" s="1"/>
  <c r="N70" i="46"/>
  <c r="P4" i="47"/>
  <c r="Q4" i="47" s="1"/>
  <c r="P11" i="46"/>
  <c r="Q11" i="46" s="1"/>
  <c r="P89" i="46"/>
  <c r="N46" i="46"/>
  <c r="N65" i="46"/>
  <c r="N8" i="49"/>
  <c r="P78" i="46"/>
  <c r="N73" i="45"/>
  <c r="N18" i="47"/>
  <c r="N85" i="45"/>
  <c r="N85" i="48"/>
  <c r="P83" i="45"/>
  <c r="W61" i="45"/>
  <c r="X61" i="45" s="1"/>
  <c r="Q65" i="48"/>
  <c r="Q68" i="48"/>
  <c r="Q69" i="48"/>
  <c r="Q73" i="48"/>
  <c r="Q64" i="48"/>
  <c r="Q71" i="48"/>
  <c r="O79" i="48"/>
  <c r="Q32" i="46"/>
  <c r="Q33" i="46"/>
  <c r="T5" i="49"/>
  <c r="T63" i="49"/>
  <c r="T22" i="49"/>
  <c r="U22" i="49" s="1"/>
  <c r="T34" i="49"/>
  <c r="U34" i="49" s="1"/>
  <c r="T31" i="49"/>
  <c r="U31" i="49" s="1"/>
  <c r="T38" i="49"/>
  <c r="U38" i="49" s="1"/>
  <c r="T25" i="49"/>
  <c r="U25" i="49" s="1"/>
  <c r="T28" i="49"/>
  <c r="U28" i="49" s="1"/>
  <c r="T55" i="49"/>
  <c r="U55" i="49" s="1"/>
  <c r="T61" i="49"/>
  <c r="U61" i="49" s="1"/>
  <c r="T53" i="49"/>
  <c r="U53" i="49" s="1"/>
  <c r="T2" i="49"/>
  <c r="U2" i="49" s="1"/>
  <c r="T47" i="49"/>
  <c r="U47" i="49" s="1"/>
  <c r="B6" i="80" a="1"/>
  <c r="B6" i="81" a="1"/>
  <c r="C20" i="80" a="1"/>
  <c r="C20" i="81" a="1"/>
  <c r="C4" i="80" a="1"/>
  <c r="C4" i="81" a="1"/>
  <c r="C4" i="81" l="1"/>
  <c r="C4" i="80"/>
  <c r="C20" i="81"/>
  <c r="C20" i="80"/>
  <c r="B6" i="81"/>
  <c r="B6" i="80"/>
  <c r="Q91" i="46"/>
  <c r="Q89" i="46"/>
  <c r="Q90" i="46"/>
  <c r="O89" i="47"/>
  <c r="O91" i="47"/>
  <c r="O90" i="47"/>
  <c r="Q76" i="45"/>
  <c r="X75" i="45" s="1"/>
  <c r="Q80" i="45"/>
  <c r="Q79" i="45"/>
  <c r="Q83" i="45"/>
  <c r="Q81" i="45"/>
  <c r="Q82" i="45"/>
  <c r="Q78" i="45"/>
  <c r="O14" i="46"/>
  <c r="O10" i="46"/>
  <c r="O11" i="46"/>
  <c r="O13" i="46"/>
  <c r="O12" i="46"/>
  <c r="Q57" i="45"/>
  <c r="Q60" i="45"/>
  <c r="Q59" i="45"/>
  <c r="Q56" i="45"/>
  <c r="X55" i="45" s="1"/>
  <c r="Q58" i="45"/>
  <c r="O16" i="47"/>
  <c r="O18" i="47"/>
  <c r="O17" i="47"/>
  <c r="O30" i="45"/>
  <c r="Q20" i="48"/>
  <c r="Q21" i="48"/>
  <c r="O65" i="47"/>
  <c r="O74" i="47"/>
  <c r="O73" i="47"/>
  <c r="O64" i="47"/>
  <c r="O71" i="47"/>
  <c r="O66" i="47"/>
  <c r="O67" i="47"/>
  <c r="O70" i="47"/>
  <c r="O68" i="47"/>
  <c r="O69" i="47"/>
  <c r="O72" i="47"/>
  <c r="Q87" i="49"/>
  <c r="Q85" i="49"/>
  <c r="Q86" i="49"/>
  <c r="Q21" i="47"/>
  <c r="Q20" i="47"/>
  <c r="Q66" i="48"/>
  <c r="Q72" i="48"/>
  <c r="Q67" i="48"/>
  <c r="Q70" i="48"/>
  <c r="Q37" i="47"/>
  <c r="Q36" i="47"/>
  <c r="Q35" i="47"/>
  <c r="Q27" i="48"/>
  <c r="Q26" i="48"/>
  <c r="Q23" i="47"/>
  <c r="Q24" i="47"/>
  <c r="Q13" i="45"/>
  <c r="Q11" i="45"/>
  <c r="Q10" i="45"/>
  <c r="X9" i="45" s="1"/>
  <c r="Q14" i="45"/>
  <c r="Q12" i="45"/>
  <c r="O8" i="49"/>
  <c r="O7" i="49"/>
  <c r="O6" i="49"/>
  <c r="Q23" i="45"/>
  <c r="Q24" i="45"/>
  <c r="O41" i="46"/>
  <c r="O46" i="46"/>
  <c r="O45" i="46"/>
  <c r="O44" i="46"/>
  <c r="O40" i="46"/>
  <c r="O39" i="46"/>
  <c r="O42" i="46"/>
  <c r="O43" i="46"/>
  <c r="Q58" i="46"/>
  <c r="W25" i="47"/>
  <c r="Q11" i="47"/>
  <c r="Q13" i="47"/>
  <c r="Q12" i="47"/>
  <c r="Q14" i="47"/>
  <c r="Q10" i="47"/>
  <c r="O33" i="45"/>
  <c r="O32" i="45"/>
  <c r="Q21" i="49"/>
  <c r="Q20" i="49"/>
  <c r="O27" i="47"/>
  <c r="O83" i="48"/>
  <c r="Q20" i="45"/>
  <c r="Q21" i="45"/>
  <c r="O90" i="49"/>
  <c r="O91" i="49"/>
  <c r="O89" i="49"/>
  <c r="Q59" i="46"/>
  <c r="O89" i="48"/>
  <c r="O90" i="48"/>
  <c r="O91" i="48"/>
  <c r="Q16" i="49"/>
  <c r="Q18" i="49"/>
  <c r="Q17" i="49"/>
  <c r="W38" i="47"/>
  <c r="Q65" i="49"/>
  <c r="Q91" i="45"/>
  <c r="Q90" i="45"/>
  <c r="Q89" i="45"/>
  <c r="X88" i="45" s="1"/>
  <c r="Q77" i="45"/>
  <c r="Q39" i="45"/>
  <c r="X38" i="45" s="1"/>
  <c r="Q43" i="45"/>
  <c r="Q42" i="45"/>
  <c r="Q40" i="45"/>
  <c r="Q46" i="45"/>
  <c r="Q41" i="45"/>
  <c r="Q45" i="45"/>
  <c r="Q44" i="45"/>
  <c r="O12" i="45"/>
  <c r="O11" i="45"/>
  <c r="O10" i="45"/>
  <c r="O14" i="45"/>
  <c r="O13" i="45"/>
  <c r="O24" i="46"/>
  <c r="O23" i="46"/>
  <c r="Q81" i="47"/>
  <c r="O83" i="46"/>
  <c r="O81" i="46"/>
  <c r="O76" i="46"/>
  <c r="O78" i="46"/>
  <c r="O77" i="46"/>
  <c r="O82" i="46"/>
  <c r="O80" i="46"/>
  <c r="Q67" i="49"/>
  <c r="W31" i="47"/>
  <c r="O18" i="48"/>
  <c r="O17" i="48"/>
  <c r="O16" i="48"/>
  <c r="O85" i="46"/>
  <c r="O86" i="46"/>
  <c r="O87" i="46"/>
  <c r="Q4" i="49"/>
  <c r="Q3" i="49"/>
  <c r="U19" i="49"/>
  <c r="X19" i="45"/>
  <c r="Q16" i="48"/>
  <c r="Q39" i="47"/>
  <c r="Q45" i="47"/>
  <c r="Q41" i="47"/>
  <c r="Q42" i="47"/>
  <c r="Q43" i="47"/>
  <c r="Q44" i="47"/>
  <c r="Q40" i="47"/>
  <c r="Q46" i="47"/>
  <c r="Q21" i="46"/>
  <c r="Q20" i="46"/>
  <c r="Q13" i="46"/>
  <c r="U5" i="49"/>
  <c r="W15" i="47"/>
  <c r="W53" i="47"/>
  <c r="X53" i="47" s="1"/>
  <c r="W2" i="47"/>
  <c r="X2" i="47" s="1"/>
  <c r="W61" i="47"/>
  <c r="X61" i="47" s="1"/>
  <c r="W28" i="47"/>
  <c r="X28" i="47" s="1"/>
  <c r="W55" i="47"/>
  <c r="X55" i="47" s="1"/>
  <c r="W75" i="47"/>
  <c r="O23" i="47"/>
  <c r="O24" i="47"/>
  <c r="O21" i="47"/>
  <c r="O20" i="47"/>
  <c r="O90" i="45"/>
  <c r="O91" i="45"/>
  <c r="O89" i="45"/>
  <c r="Q16" i="45"/>
  <c r="X15" i="45" s="1"/>
  <c r="G6" i="50" s="1"/>
  <c r="Q18" i="45"/>
  <c r="Q17" i="45"/>
  <c r="Q69" i="46"/>
  <c r="Q72" i="46"/>
  <c r="Q64" i="46"/>
  <c r="Q67" i="46"/>
  <c r="Q74" i="46"/>
  <c r="Q71" i="46"/>
  <c r="Q68" i="46"/>
  <c r="Q65" i="46"/>
  <c r="Q66" i="46"/>
  <c r="Q70" i="46"/>
  <c r="Q73" i="46"/>
  <c r="O27" i="45"/>
  <c r="O26" i="45"/>
  <c r="O79" i="46"/>
  <c r="X22" i="45"/>
  <c r="O40" i="45"/>
  <c r="O39" i="45"/>
  <c r="O41" i="45"/>
  <c r="O43" i="45"/>
  <c r="O42" i="45"/>
  <c r="O44" i="45"/>
  <c r="O45" i="45"/>
  <c r="O46" i="45"/>
  <c r="Q90" i="47"/>
  <c r="Q89" i="47"/>
  <c r="X88" i="47" s="1"/>
  <c r="Q90" i="48"/>
  <c r="W19" i="47"/>
  <c r="X19" i="47" s="1"/>
  <c r="Q10" i="46"/>
  <c r="O72" i="45"/>
  <c r="O67" i="45"/>
  <c r="O70" i="45"/>
  <c r="O71" i="45"/>
  <c r="O65" i="45"/>
  <c r="O73" i="45"/>
  <c r="O69" i="45"/>
  <c r="O74" i="45"/>
  <c r="O66" i="45"/>
  <c r="O68" i="45"/>
  <c r="O64" i="45"/>
  <c r="Q64" i="47"/>
  <c r="Q70" i="47"/>
  <c r="Q74" i="47"/>
  <c r="Q68" i="47"/>
  <c r="Q65" i="47"/>
  <c r="Q71" i="47"/>
  <c r="Q73" i="47"/>
  <c r="Q69" i="47"/>
  <c r="Q67" i="47"/>
  <c r="Q72" i="47"/>
  <c r="O80" i="48"/>
  <c r="W22" i="47"/>
  <c r="X22" i="47" s="1"/>
  <c r="W63" i="47"/>
  <c r="X63" i="47" s="1"/>
  <c r="O77" i="49"/>
  <c r="O78" i="49"/>
  <c r="O82" i="49"/>
  <c r="O83" i="49"/>
  <c r="O80" i="49"/>
  <c r="O81" i="49"/>
  <c r="O79" i="49"/>
  <c r="Q37" i="45"/>
  <c r="Q36" i="45"/>
  <c r="Q35" i="45"/>
  <c r="X34" i="45" s="1"/>
  <c r="W47" i="47"/>
  <c r="Q66" i="45"/>
  <c r="Q69" i="45"/>
  <c r="Q71" i="45"/>
  <c r="Q67" i="45"/>
  <c r="Q64" i="45"/>
  <c r="X63" i="45" s="1"/>
  <c r="Q72" i="45"/>
  <c r="Q70" i="45"/>
  <c r="Q74" i="45"/>
  <c r="Q73" i="45"/>
  <c r="Q68" i="45"/>
  <c r="Q65" i="45"/>
  <c r="O26" i="48"/>
  <c r="O27" i="48"/>
  <c r="Q48" i="47"/>
  <c r="Q52" i="47"/>
  <c r="Q49" i="47"/>
  <c r="Q50" i="47"/>
  <c r="Q51" i="47"/>
  <c r="Q24" i="49"/>
  <c r="Q23" i="49"/>
  <c r="Q7" i="46"/>
  <c r="Q8" i="46"/>
  <c r="Q87" i="46"/>
  <c r="Q86" i="46"/>
  <c r="Q85" i="46"/>
  <c r="Q91" i="48"/>
  <c r="Q82" i="48"/>
  <c r="Q78" i="48"/>
  <c r="Q80" i="48"/>
  <c r="Q83" i="48"/>
  <c r="Q76" i="48"/>
  <c r="Q77" i="48"/>
  <c r="Q81" i="48"/>
  <c r="O69" i="46"/>
  <c r="O66" i="46"/>
  <c r="O73" i="46"/>
  <c r="O65" i="46"/>
  <c r="O64" i="46"/>
  <c r="O74" i="46"/>
  <c r="O71" i="46"/>
  <c r="O70" i="46"/>
  <c r="O67" i="46"/>
  <c r="O72" i="46"/>
  <c r="O68" i="46"/>
  <c r="Q86" i="48"/>
  <c r="Q87" i="48"/>
  <c r="Q85" i="48"/>
  <c r="Q14" i="46"/>
  <c r="Q86" i="45"/>
  <c r="Q87" i="45"/>
  <c r="Q85" i="45"/>
  <c r="X84" i="45" s="1"/>
  <c r="O71" i="48"/>
  <c r="O70" i="48"/>
  <c r="O67" i="48"/>
  <c r="O73" i="48"/>
  <c r="O68" i="48"/>
  <c r="O64" i="48"/>
  <c r="O72" i="48"/>
  <c r="O69" i="48"/>
  <c r="O65" i="48"/>
  <c r="O66" i="48"/>
  <c r="O74" i="48"/>
  <c r="Q4" i="48"/>
  <c r="Q3" i="48"/>
  <c r="O87" i="48"/>
  <c r="O86" i="48"/>
  <c r="O85" i="48"/>
  <c r="O33" i="46"/>
  <c r="O32" i="46"/>
  <c r="U88" i="49"/>
  <c r="O81" i="47"/>
  <c r="Q13" i="48"/>
  <c r="Q12" i="48"/>
  <c r="Q11" i="48"/>
  <c r="Q10" i="48"/>
  <c r="Q14" i="48"/>
  <c r="O21" i="48"/>
  <c r="O20" i="48"/>
  <c r="O16" i="49"/>
  <c r="O17" i="49"/>
  <c r="O18" i="49"/>
  <c r="Q24" i="46"/>
  <c r="Q23" i="46"/>
  <c r="Q68" i="49"/>
  <c r="O3" i="45"/>
  <c r="S2" i="45" s="1"/>
  <c r="O4" i="45"/>
  <c r="W34" i="47"/>
  <c r="X34" i="47" s="1"/>
  <c r="Q7" i="47"/>
  <c r="Q8" i="47"/>
  <c r="Q6" i="47"/>
  <c r="O16" i="46"/>
  <c r="O18" i="46"/>
  <c r="O17" i="46"/>
  <c r="Q50" i="45"/>
  <c r="Q48" i="45"/>
  <c r="X47" i="45" s="1"/>
  <c r="Q51" i="45"/>
  <c r="Q52" i="45"/>
  <c r="Q49" i="45"/>
  <c r="O7" i="46"/>
  <c r="O6" i="46"/>
  <c r="O8" i="46"/>
  <c r="Q26" i="46"/>
  <c r="Q27" i="46"/>
  <c r="Q82" i="46"/>
  <c r="Q77" i="46"/>
  <c r="Q78" i="46"/>
  <c r="Q76" i="46"/>
  <c r="Q79" i="46"/>
  <c r="Q83" i="46"/>
  <c r="Q81" i="46"/>
  <c r="Q70" i="49"/>
  <c r="Q64" i="49"/>
  <c r="Q69" i="49"/>
  <c r="Q73" i="49"/>
  <c r="Q87" i="47"/>
  <c r="Q85" i="47"/>
  <c r="Q86" i="47"/>
  <c r="Q12" i="46"/>
  <c r="W84" i="47"/>
  <c r="O11" i="48"/>
  <c r="O12" i="48"/>
  <c r="O10" i="48"/>
  <c r="O13" i="48"/>
  <c r="O14" i="48"/>
  <c r="O91" i="46"/>
  <c r="O89" i="46"/>
  <c r="O90" i="46"/>
  <c r="O24" i="45"/>
  <c r="O23" i="45"/>
  <c r="Q80" i="46"/>
  <c r="Q32" i="47"/>
  <c r="Q33" i="47"/>
  <c r="O86" i="45"/>
  <c r="O87" i="45"/>
  <c r="O85" i="45"/>
  <c r="Q27" i="47"/>
  <c r="Q26" i="47"/>
  <c r="O4" i="48"/>
  <c r="O3" i="48"/>
  <c r="U15" i="49"/>
  <c r="Q83" i="47"/>
  <c r="Q79" i="47"/>
  <c r="Q76" i="47"/>
  <c r="Q82" i="47"/>
  <c r="Q80" i="47"/>
  <c r="Q78" i="47"/>
  <c r="Q77" i="47"/>
  <c r="Q16" i="46"/>
  <c r="Q18" i="46"/>
  <c r="Q17" i="46"/>
  <c r="O10" i="49"/>
  <c r="O14" i="49"/>
  <c r="O13" i="49"/>
  <c r="O11" i="49"/>
  <c r="O86" i="49"/>
  <c r="O87" i="49"/>
  <c r="O85" i="49"/>
  <c r="O27" i="46"/>
  <c r="O26" i="46"/>
  <c r="Q74" i="48"/>
  <c r="W5" i="47"/>
  <c r="X5" i="47" s="1"/>
  <c r="O77" i="47"/>
  <c r="O82" i="47"/>
  <c r="O76" i="47"/>
  <c r="O80" i="47"/>
  <c r="O23" i="48"/>
  <c r="O24" i="48"/>
  <c r="O3" i="47"/>
  <c r="S2" i="47" s="1"/>
  <c r="O4" i="47"/>
  <c r="Q80" i="49"/>
  <c r="Q83" i="49"/>
  <c r="Q82" i="49"/>
  <c r="Q77" i="49"/>
  <c r="Q81" i="49"/>
  <c r="Q76" i="49"/>
  <c r="Q79" i="49"/>
  <c r="O76" i="49"/>
  <c r="U75" i="49" s="1"/>
  <c r="W9" i="47"/>
  <c r="X9" i="47" s="1"/>
  <c r="O16" i="45"/>
  <c r="O18" i="45"/>
  <c r="O17" i="45"/>
  <c r="Q26" i="45"/>
  <c r="X25" i="45" s="1"/>
  <c r="Q27" i="45"/>
  <c r="Q66" i="49"/>
  <c r="Q17" i="47"/>
  <c r="Q18" i="47"/>
  <c r="Q16" i="47"/>
  <c r="X15" i="47" s="1"/>
  <c r="O8" i="48"/>
  <c r="O6" i="48"/>
  <c r="O7" i="48"/>
  <c r="O4" i="46"/>
  <c r="O3" i="46"/>
  <c r="S2" i="46" s="1"/>
  <c r="Q37" i="46"/>
  <c r="Q36" i="46"/>
  <c r="Q35" i="46"/>
  <c r="Q7" i="45"/>
  <c r="O6" i="47"/>
  <c r="O8" i="47"/>
  <c r="O7" i="47"/>
  <c r="O8" i="45"/>
  <c r="O7" i="45"/>
  <c r="O6" i="45"/>
  <c r="V2" i="46"/>
  <c r="Q51" i="46"/>
  <c r="Q50" i="46"/>
  <c r="Q52" i="46"/>
  <c r="Q48" i="46"/>
  <c r="Q49" i="46"/>
  <c r="O80" i="45"/>
  <c r="O78" i="45"/>
  <c r="O76" i="45"/>
  <c r="O81" i="45"/>
  <c r="O82" i="45"/>
  <c r="O77" i="45"/>
  <c r="O79" i="45"/>
  <c r="O70" i="49"/>
  <c r="O72" i="49"/>
  <c r="O69" i="49"/>
  <c r="O64" i="49"/>
  <c r="O65" i="49"/>
  <c r="O66" i="49"/>
  <c r="O71" i="49"/>
  <c r="O74" i="49"/>
  <c r="O68" i="49"/>
  <c r="O67" i="49"/>
  <c r="O73" i="49"/>
  <c r="Q90" i="49"/>
  <c r="O85" i="47"/>
  <c r="O87" i="47"/>
  <c r="O86" i="47"/>
  <c r="O20" i="46"/>
  <c r="Q40" i="46"/>
  <c r="Q44" i="46"/>
  <c r="Q45" i="46"/>
  <c r="Q39" i="46"/>
  <c r="Q46" i="46"/>
  <c r="Q42" i="46"/>
  <c r="Q43" i="46"/>
  <c r="Q41" i="46"/>
  <c r="Q78" i="49"/>
  <c r="Q30" i="46"/>
  <c r="Q29" i="46"/>
  <c r="Q71" i="49"/>
  <c r="O78" i="47"/>
  <c r="C2" i="81" a="1"/>
  <c r="C2" i="80" a="1"/>
  <c r="B5" i="81" a="1"/>
  <c r="B5" i="80" a="1"/>
  <c r="B20" i="80" a="1"/>
  <c r="B20" i="81" a="1"/>
  <c r="C17" i="81" a="1"/>
  <c r="C17" i="80" a="1"/>
  <c r="B4" i="80" a="1"/>
  <c r="B4" i="81" a="1"/>
  <c r="B3" i="81" a="1"/>
  <c r="B3" i="80" a="1"/>
  <c r="C6" i="80" a="1"/>
  <c r="C6" i="81" a="1"/>
  <c r="C18" i="81" a="1"/>
  <c r="C18" i="80" a="1"/>
  <c r="C7" i="81" a="1"/>
  <c r="C7" i="80" a="1"/>
  <c r="C19" i="80" a="1"/>
  <c r="C19" i="81" a="1"/>
  <c r="B18" i="80" a="1"/>
  <c r="B18" i="81" a="1"/>
  <c r="B17" i="80" a="1"/>
  <c r="B17" i="81" a="1"/>
  <c r="C5" i="80" a="1"/>
  <c r="C5" i="81" a="1"/>
  <c r="B19" i="81" a="1"/>
  <c r="B19" i="80" a="1"/>
  <c r="B19" i="80" l="1"/>
  <c r="B19" i="81"/>
  <c r="C5" i="81"/>
  <c r="C5" i="80"/>
  <c r="B17" i="81"/>
  <c r="B17" i="80"/>
  <c r="B18" i="81"/>
  <c r="B18" i="80"/>
  <c r="C19" i="81"/>
  <c r="C19" i="80"/>
  <c r="C7" i="80"/>
  <c r="C7" i="81"/>
  <c r="C18" i="80"/>
  <c r="C18" i="81"/>
  <c r="C6" i="81"/>
  <c r="C6" i="80"/>
  <c r="B3" i="80"/>
  <c r="B3" i="81"/>
  <c r="B4" i="81"/>
  <c r="B4" i="80"/>
  <c r="C17" i="80"/>
  <c r="C17" i="81"/>
  <c r="B20" i="81"/>
  <c r="B20" i="80"/>
  <c r="B5" i="80"/>
  <c r="B5" i="81"/>
  <c r="C2" i="80"/>
  <c r="C2" i="81"/>
  <c r="G6" i="95"/>
  <c r="G6" i="98"/>
  <c r="N5" i="98" s="1"/>
  <c r="G6" i="96"/>
  <c r="V2" i="48"/>
  <c r="X47" i="47"/>
  <c r="X25" i="47"/>
  <c r="X34" i="46"/>
  <c r="G6" i="97"/>
  <c r="T5" i="45"/>
  <c r="U5" i="45" s="1"/>
  <c r="T28" i="45"/>
  <c r="U28" i="45" s="1"/>
  <c r="T22" i="45"/>
  <c r="U22" i="45" s="1"/>
  <c r="T47" i="45"/>
  <c r="U47" i="45" s="1"/>
  <c r="T63" i="45"/>
  <c r="U63" i="45" s="1"/>
  <c r="T25" i="45"/>
  <c r="U25" i="45" s="1"/>
  <c r="T61" i="45"/>
  <c r="U61" i="45" s="1"/>
  <c r="T38" i="45"/>
  <c r="U38" i="45" s="1"/>
  <c r="T15" i="45"/>
  <c r="U15" i="45" s="1"/>
  <c r="T9" i="45"/>
  <c r="U9" i="45" s="1"/>
  <c r="T53" i="45"/>
  <c r="U53" i="45" s="1"/>
  <c r="T34" i="45"/>
  <c r="U34" i="45" s="1"/>
  <c r="T84" i="45"/>
  <c r="U84" i="45" s="1"/>
  <c r="T55" i="45"/>
  <c r="U55" i="45" s="1"/>
  <c r="T88" i="45"/>
  <c r="U88" i="45" s="1"/>
  <c r="T31" i="45"/>
  <c r="U31" i="45" s="1"/>
  <c r="T19" i="45"/>
  <c r="U19" i="45" s="1"/>
  <c r="T2" i="45"/>
  <c r="U2" i="45" s="1"/>
  <c r="T75" i="45"/>
  <c r="U75" i="45" s="1"/>
  <c r="X75" i="47"/>
  <c r="W61" i="46"/>
  <c r="X61" i="46" s="1"/>
  <c r="W31" i="46"/>
  <c r="X31" i="46" s="1"/>
  <c r="W2" i="46"/>
  <c r="X2" i="46" s="1"/>
  <c r="W5" i="46"/>
  <c r="X5" i="46" s="1"/>
  <c r="W75" i="46"/>
  <c r="X75" i="46" s="1"/>
  <c r="W22" i="46"/>
  <c r="X22" i="46" s="1"/>
  <c r="W55" i="46"/>
  <c r="X55" i="46" s="1"/>
  <c r="W19" i="46"/>
  <c r="X19" i="46" s="1"/>
  <c r="W25" i="46"/>
  <c r="X25" i="46" s="1"/>
  <c r="W63" i="46"/>
  <c r="X63" i="46" s="1"/>
  <c r="W47" i="46"/>
  <c r="W28" i="46"/>
  <c r="W15" i="46"/>
  <c r="X15" i="46" s="1"/>
  <c r="W53" i="46"/>
  <c r="X53" i="46" s="1"/>
  <c r="W88" i="46"/>
  <c r="X88" i="46" s="1"/>
  <c r="W38" i="46"/>
  <c r="X38" i="46" s="1"/>
  <c r="W34" i="46"/>
  <c r="W84" i="46"/>
  <c r="W9" i="46"/>
  <c r="X9" i="46" s="1"/>
  <c r="X28" i="46"/>
  <c r="S2" i="48"/>
  <c r="T5" i="46"/>
  <c r="U5" i="46" s="1"/>
  <c r="T19" i="46"/>
  <c r="U19" i="46" s="1"/>
  <c r="T22" i="46"/>
  <c r="U22" i="46" s="1"/>
  <c r="T75" i="46"/>
  <c r="U75" i="46" s="1"/>
  <c r="T61" i="46"/>
  <c r="U61" i="46" s="1"/>
  <c r="T88" i="46"/>
  <c r="U88" i="46" s="1"/>
  <c r="T63" i="46"/>
  <c r="U63" i="46" s="1"/>
  <c r="T25" i="46"/>
  <c r="U25" i="46" s="1"/>
  <c r="T55" i="46"/>
  <c r="U55" i="46" s="1"/>
  <c r="T47" i="46"/>
  <c r="U47" i="46" s="1"/>
  <c r="T9" i="46"/>
  <c r="U9" i="46" s="1"/>
  <c r="T31" i="46"/>
  <c r="U31" i="46" s="1"/>
  <c r="T84" i="46"/>
  <c r="U84" i="46" s="1"/>
  <c r="T2" i="46"/>
  <c r="U2" i="46" s="1"/>
  <c r="T34" i="46"/>
  <c r="U34" i="46" s="1"/>
  <c r="T15" i="46"/>
  <c r="U15" i="46" s="1"/>
  <c r="T53" i="46"/>
  <c r="U53" i="46" s="1"/>
  <c r="T38" i="46"/>
  <c r="U38" i="46" s="1"/>
  <c r="T28" i="46"/>
  <c r="U28" i="46" s="1"/>
  <c r="T9" i="47"/>
  <c r="U9" i="47" s="1"/>
  <c r="T31" i="47"/>
  <c r="U31" i="47" s="1"/>
  <c r="T25" i="47"/>
  <c r="U25" i="47" s="1"/>
  <c r="T88" i="47"/>
  <c r="U88" i="47" s="1"/>
  <c r="T63" i="47"/>
  <c r="U63" i="47" s="1"/>
  <c r="T84" i="47"/>
  <c r="U84" i="47" s="1"/>
  <c r="T19" i="47"/>
  <c r="U19" i="47" s="1"/>
  <c r="T55" i="47"/>
  <c r="U55" i="47" s="1"/>
  <c r="T61" i="47"/>
  <c r="U61" i="47" s="1"/>
  <c r="T5" i="47"/>
  <c r="U5" i="47" s="1"/>
  <c r="T2" i="47"/>
  <c r="U2" i="47" s="1"/>
  <c r="T28" i="47"/>
  <c r="U28" i="47" s="1"/>
  <c r="T75" i="47"/>
  <c r="U75" i="47" s="1"/>
  <c r="T34" i="47"/>
  <c r="U34" i="47" s="1"/>
  <c r="T15" i="47"/>
  <c r="U15" i="47" s="1"/>
  <c r="T38" i="47"/>
  <c r="U38" i="47" s="1"/>
  <c r="T22" i="47"/>
  <c r="U22" i="47" s="1"/>
  <c r="T53" i="47"/>
  <c r="U53" i="47" s="1"/>
  <c r="T47" i="47"/>
  <c r="U47" i="47" s="1"/>
  <c r="X47" i="46"/>
  <c r="U63" i="49"/>
  <c r="I6" i="50"/>
  <c r="X38" i="47"/>
  <c r="X84" i="47"/>
  <c r="I6" i="95" s="1"/>
  <c r="X84" i="46"/>
  <c r="V2" i="49"/>
  <c r="X31" i="47"/>
  <c r="I6" i="98" s="1"/>
  <c r="U9" i="49"/>
  <c r="K5" i="98" s="1"/>
  <c r="U84" i="49"/>
  <c r="W22" i="48" l="1"/>
  <c r="X22" i="48" s="1"/>
  <c r="W63" i="48"/>
  <c r="X63" i="48" s="1"/>
  <c r="W88" i="48"/>
  <c r="X88" i="48" s="1"/>
  <c r="W38" i="48"/>
  <c r="X38" i="48" s="1"/>
  <c r="W2" i="48"/>
  <c r="X2" i="48" s="1"/>
  <c r="W31" i="48"/>
  <c r="X31" i="48" s="1"/>
  <c r="W34" i="48"/>
  <c r="X34" i="48" s="1"/>
  <c r="W5" i="48"/>
  <c r="X5" i="48" s="1"/>
  <c r="W61" i="48"/>
  <c r="X61" i="48" s="1"/>
  <c r="W84" i="48"/>
  <c r="X84" i="48" s="1"/>
  <c r="W25" i="48"/>
  <c r="X25" i="48" s="1"/>
  <c r="W19" i="48"/>
  <c r="X19" i="48" s="1"/>
  <c r="W75" i="48"/>
  <c r="X75" i="48" s="1"/>
  <c r="W9" i="48"/>
  <c r="X9" i="48" s="1"/>
  <c r="W55" i="48"/>
  <c r="X55" i="48" s="1"/>
  <c r="W15" i="48"/>
  <c r="X15" i="48" s="1"/>
  <c r="W47" i="48"/>
  <c r="X47" i="48" s="1"/>
  <c r="W28" i="48"/>
  <c r="X28" i="48" s="1"/>
  <c r="W53" i="48"/>
  <c r="X53" i="48" s="1"/>
  <c r="G5" i="96"/>
  <c r="G7" i="96" s="1"/>
  <c r="G5" i="98"/>
  <c r="G5" i="97"/>
  <c r="G7" i="97" s="1"/>
  <c r="G5" i="95"/>
  <c r="G7" i="95" s="1"/>
  <c r="G5" i="50"/>
  <c r="G7" i="50" s="1"/>
  <c r="T25" i="48"/>
  <c r="U25" i="48" s="1"/>
  <c r="T47" i="48"/>
  <c r="U47" i="48" s="1"/>
  <c r="T22" i="48"/>
  <c r="U22" i="48" s="1"/>
  <c r="T61" i="48"/>
  <c r="U61" i="48" s="1"/>
  <c r="T28" i="48"/>
  <c r="U28" i="48" s="1"/>
  <c r="T19" i="48"/>
  <c r="U19" i="48" s="1"/>
  <c r="T53" i="48"/>
  <c r="U53" i="48" s="1"/>
  <c r="T9" i="48"/>
  <c r="U9" i="48" s="1"/>
  <c r="T75" i="48"/>
  <c r="U75" i="48" s="1"/>
  <c r="T38" i="48"/>
  <c r="U38" i="48" s="1"/>
  <c r="T55" i="48"/>
  <c r="U55" i="48" s="1"/>
  <c r="T15" i="48"/>
  <c r="U15" i="48" s="1"/>
  <c r="T88" i="48"/>
  <c r="U88" i="48" s="1"/>
  <c r="T2" i="48"/>
  <c r="U2" i="48" s="1"/>
  <c r="T34" i="48"/>
  <c r="U34" i="48" s="1"/>
  <c r="T5" i="48"/>
  <c r="U5" i="48" s="1"/>
  <c r="T63" i="48"/>
  <c r="U63" i="48" s="1"/>
  <c r="T31" i="48"/>
  <c r="U31" i="48" s="1"/>
  <c r="T84" i="48"/>
  <c r="U84" i="48" s="1"/>
  <c r="I6" i="96"/>
  <c r="N5" i="96" s="1"/>
  <c r="I5" i="96"/>
  <c r="I5" i="50"/>
  <c r="I7" i="50" s="1"/>
  <c r="I5" i="95"/>
  <c r="I7" i="95" s="1"/>
  <c r="I5" i="97"/>
  <c r="I7" i="97" s="1"/>
  <c r="I5" i="98"/>
  <c r="I7" i="98" s="1"/>
  <c r="H5" i="50"/>
  <c r="H5" i="98"/>
  <c r="H7" i="98" s="1"/>
  <c r="H5" i="95"/>
  <c r="H7" i="95" s="1"/>
  <c r="H5" i="97"/>
  <c r="H5" i="96"/>
  <c r="H7" i="96" s="1"/>
  <c r="H6" i="50"/>
  <c r="H6" i="97"/>
  <c r="N5" i="97" s="1"/>
  <c r="H6" i="98"/>
  <c r="H6" i="96"/>
  <c r="H6" i="95"/>
  <c r="I6" i="97"/>
  <c r="K5" i="95"/>
  <c r="K5" i="50"/>
  <c r="K5" i="96"/>
  <c r="K5" i="97"/>
  <c r="W9" i="49"/>
  <c r="X9" i="49" s="1"/>
  <c r="W28" i="49"/>
  <c r="X28" i="49" s="1"/>
  <c r="W38" i="49"/>
  <c r="X38" i="49" s="1"/>
  <c r="W31" i="49"/>
  <c r="X31" i="49" s="1"/>
  <c r="W75" i="49"/>
  <c r="X75" i="49" s="1"/>
  <c r="W88" i="49"/>
  <c r="X88" i="49" s="1"/>
  <c r="W84" i="49"/>
  <c r="X84" i="49" s="1"/>
  <c r="W61" i="49"/>
  <c r="X61" i="49" s="1"/>
  <c r="W53" i="49"/>
  <c r="X53" i="49" s="1"/>
  <c r="W34" i="49"/>
  <c r="X34" i="49" s="1"/>
  <c r="W22" i="49"/>
  <c r="X22" i="49" s="1"/>
  <c r="W55" i="49"/>
  <c r="X55" i="49" s="1"/>
  <c r="W15" i="49"/>
  <c r="X15" i="49" s="1"/>
  <c r="W5" i="49"/>
  <c r="X5" i="49" s="1"/>
  <c r="W47" i="49"/>
  <c r="X47" i="49" s="1"/>
  <c r="W19" i="49"/>
  <c r="X19" i="49" s="1"/>
  <c r="W25" i="49"/>
  <c r="X25" i="49" s="1"/>
  <c r="W63" i="49"/>
  <c r="X63" i="49" s="1"/>
  <c r="W2" i="49"/>
  <c r="X2" i="49" s="1"/>
  <c r="H7" i="97" l="1"/>
  <c r="N4" i="97"/>
  <c r="I7" i="96"/>
  <c r="N4" i="96"/>
  <c r="G7" i="98"/>
  <c r="N4" i="98"/>
  <c r="N4" i="50"/>
  <c r="K7" i="50"/>
  <c r="H7" i="50"/>
  <c r="J5" i="97"/>
  <c r="J5" i="95"/>
  <c r="J5" i="50"/>
  <c r="J5" i="98"/>
  <c r="J7" i="98" s="1"/>
  <c r="J5" i="96"/>
  <c r="J7" i="96" s="1"/>
  <c r="J6" i="50"/>
  <c r="J6" i="97"/>
  <c r="J6" i="95"/>
  <c r="N5" i="95" s="1"/>
  <c r="J6" i="98"/>
  <c r="J6" i="96"/>
  <c r="K6" i="98"/>
  <c r="K7" i="98" s="1"/>
  <c r="K6" i="50"/>
  <c r="N5" i="50" s="1"/>
  <c r="K6" i="97"/>
  <c r="K7" i="97" s="1"/>
  <c r="K6" i="96"/>
  <c r="K7" i="96" s="1"/>
  <c r="K6" i="95"/>
  <c r="K7" i="95" s="1"/>
  <c r="E12" i="89" l="1"/>
  <c r="J12" i="89"/>
  <c r="E12" i="93"/>
  <c r="J12" i="93"/>
  <c r="J7" i="50"/>
  <c r="J7" i="97"/>
  <c r="J12" i="90"/>
  <c r="E12" i="90"/>
  <c r="E12" i="91"/>
  <c r="J12" i="91"/>
  <c r="J7" i="95"/>
  <c r="N4" i="95"/>
  <c r="J12" i="92" l="1"/>
  <c r="E12" i="9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Abdelilah LAHCHIMI</author>
  </authors>
  <commentList>
    <comment ref="C1" authorId="0" shapeId="0" xr:uid="{EE561EC9-94CB-411A-843E-279D24E1AF01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obtenir, selon la catégorie 5 étoiles</t>
        </r>
      </text>
    </comment>
    <comment ref="D1" authorId="0" shapeId="0" xr:uid="{249BF1E2-3E2E-4F53-AF1F-04AD183B4170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 par rapport aux critères majeurs, en tenant compte des critères qui ne concerneraient pas l'établissement, selon la catégorie 5 étoiles</t>
        </r>
      </text>
    </comment>
    <comment ref="E1" authorId="0" shapeId="0" xr:uid="{56173E0F-B86A-427E-BD13-858960242CAE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Reprend l'évaluation depuis la feuille d'évaluation</t>
        </r>
      </text>
    </comment>
    <comment ref="K1" authorId="0" shapeId="0" xr:uid="{0FC182D4-D21A-46D5-B36A-B4109055169B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pondération telle qu'elle figure dans l'arrêté des normes de classement</t>
        </r>
      </text>
    </comment>
    <comment ref="L1" authorId="0" shapeId="0" xr:uid="{E9C8758F-9E34-49D2-9EAE-E420CE2C49DB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majeurs</t>
        </r>
      </text>
    </comment>
    <comment ref="M1" authorId="0" shapeId="0" xr:uid="{A632E351-0503-4FD9-BE36-53946D51AFE8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mineurs</t>
        </r>
      </text>
    </comment>
    <comment ref="N1" authorId="0" shapeId="0" xr:uid="{6DAE2680-051B-450A-8035-A50A55DC4305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l'évaluation de la rubrique, multipliée par le facteur de pondération de cette dernière</t>
        </r>
      </text>
    </comment>
    <comment ref="O1" authorId="0" shapeId="0" xr:uid="{58FF5094-BC70-4C3C-914A-2870F0161B7F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Taux de conformité au chapitre. Il est affiché plusiuers fois (autant de fois que de rubriques) pour éviter de fusionner.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Abdelilah LAHCHIMI</author>
  </authors>
  <commentList>
    <comment ref="C1" authorId="0" shapeId="0" xr:uid="{149B1FE9-637F-47EC-BFC3-BFD178D3CB0A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obtenir, selon la catégorie 5 étoiles</t>
        </r>
      </text>
    </comment>
    <comment ref="D1" authorId="0" shapeId="0" xr:uid="{C9CCD3A6-DC80-4DFD-BFFE-B355A2E25C16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 par rapport aux critères majeurs, en tenant compte des critères qui ne concerneraient pas l'établissement, selon la catégorie 5 étoiles</t>
        </r>
      </text>
    </comment>
    <comment ref="E1" authorId="0" shapeId="0" xr:uid="{5EACE52C-3657-4A07-A228-563C881AE2B4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Reprend l'évaluation depuis la feuille d'évaluation</t>
        </r>
      </text>
    </comment>
    <comment ref="K1" authorId="0" shapeId="0" xr:uid="{602E92BE-2D29-4AD6-A10B-5E66F3D13955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pondération telle qu'elle figure dans l'arrêté des normes de classement</t>
        </r>
      </text>
    </comment>
    <comment ref="L1" authorId="0" shapeId="0" xr:uid="{039ECBAB-5DBC-4D08-9D17-F68C76CCDD85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majeurs</t>
        </r>
      </text>
    </comment>
    <comment ref="M1" authorId="0" shapeId="0" xr:uid="{6167DEDB-5879-46B9-B01A-285ECF6CB63F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mineurs</t>
        </r>
      </text>
    </comment>
    <comment ref="N1" authorId="0" shapeId="0" xr:uid="{07FE6935-BFAD-434D-8E5D-8BFA9BAF3C8B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l'évaluation de la rubrique, multipliée par le facteur de pondération de cette dernière</t>
        </r>
      </text>
    </comment>
    <comment ref="O1" authorId="0" shapeId="0" xr:uid="{E0E9F19E-817E-4697-89B5-22744CB71744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Taux de conformité au chapitre. Il est affiché plusiuers fois (autant de fois que de rubriques) pour éviter de fusionner.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Abdelilah LAHCHIMI</author>
  </authors>
  <commentList>
    <comment ref="C1" authorId="0" shapeId="0" xr:uid="{03AC4C58-08B6-436A-A88D-32B621C44E20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obtenir, selon la catégorie 5 étoiles</t>
        </r>
      </text>
    </comment>
    <comment ref="D1" authorId="0" shapeId="0" xr:uid="{F8375AEC-6B0C-4B66-8A1D-E9642AAE19D5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 par rapport aux critères majeurs, en tenant compte des critères qui ne concerneraient pas l'établissement, selon la catégorie 5 étoiles</t>
        </r>
      </text>
    </comment>
    <comment ref="E1" authorId="0" shapeId="0" xr:uid="{39E194A1-D363-432B-9189-24F2910C6A84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Reprend l'évaluation depuis la feuille d'évaluation</t>
        </r>
      </text>
    </comment>
    <comment ref="K1" authorId="0" shapeId="0" xr:uid="{E62EB308-C0BC-4437-BB4D-A29CAAE1CDE0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pondération telle qu'elle figure dans l'arrêté des normes de classement</t>
        </r>
      </text>
    </comment>
    <comment ref="L1" authorId="0" shapeId="0" xr:uid="{04B16B04-396C-4E31-B001-BB856B11A6DB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majeurs</t>
        </r>
      </text>
    </comment>
    <comment ref="M1" authorId="0" shapeId="0" xr:uid="{4ED66EBE-3A54-4338-8560-BBB62BD4270E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mineurs</t>
        </r>
      </text>
    </comment>
    <comment ref="N1" authorId="0" shapeId="0" xr:uid="{D38EDF04-0017-4CB4-99D6-B2075E8BF612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l'évaluation de la rubrique, multipliée par le facteur de pondération de cette dernière</t>
        </r>
      </text>
    </comment>
    <comment ref="O1" authorId="0" shapeId="0" xr:uid="{A67EF870-D3FD-4E16-B318-4F1A11021719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Taux de conformité au chapitre. Il est affiché plusiuers fois (autant de fois que de rubriques) pour éviter de fusionner.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Abdelilah LAHCHIMI</author>
  </authors>
  <commentList>
    <comment ref="C1" authorId="0" shapeId="0" xr:uid="{22A22E69-4FEA-4244-B6AE-1B6E3F4B7627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obtenir, selon la catégorie 5 étoiles</t>
        </r>
      </text>
    </comment>
    <comment ref="D1" authorId="0" shapeId="0" xr:uid="{2C6F8AE4-195C-435F-957E-1AEF37C6ACF8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 par rapport aux critères majeurs, en tenant compte des critères qui ne concerneraient pas l'établissement, selon la catégorie 5 étoiles</t>
        </r>
      </text>
    </comment>
    <comment ref="E1" authorId="0" shapeId="0" xr:uid="{A355D7A3-EC15-4FE4-885B-6F3468E0D211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Reprend l'évaluation depuis la feuille d'évaluation</t>
        </r>
      </text>
    </comment>
    <comment ref="K1" authorId="0" shapeId="0" xr:uid="{B8A71CAB-A167-4237-A469-E246E2A95A5F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pondération telle qu'elle figure dans l'arrêté des normes de classement</t>
        </r>
      </text>
    </comment>
    <comment ref="L1" authorId="0" shapeId="0" xr:uid="{D8C454E7-349C-4574-AA12-6F39F7866C3F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majeurs</t>
        </r>
      </text>
    </comment>
    <comment ref="M1" authorId="0" shapeId="0" xr:uid="{85EDA386-F95F-4E10-8B36-14F634142697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mineurs</t>
        </r>
      </text>
    </comment>
    <comment ref="N1" authorId="0" shapeId="0" xr:uid="{A00DD414-DFF0-46E2-9B59-D48B16AF4D18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l'évaluation de la rubrique, multipliée par le facteur de pondération de cette dernière</t>
        </r>
      </text>
    </comment>
    <comment ref="O1" authorId="0" shapeId="0" xr:uid="{EDB009F0-1A6D-4971-BCBF-4D34DD8A33ED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Taux de conformité au chapitre. Il est affiché plusiuers fois (autant de fois que de rubriques) pour éviter de fusionner.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Abdelilah LAHCHIMI</author>
  </authors>
  <commentList>
    <comment ref="C1" authorId="0" shapeId="0" xr:uid="{AE526549-3DDB-479B-B32D-9BBC37F038FA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obtenir, selon la catégorie 5 étoiles</t>
        </r>
      </text>
    </comment>
    <comment ref="D1" authorId="0" shapeId="0" xr:uid="{4E63B696-2F29-414F-A52C-235F93F60AB7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note max que l'EHT peut obtenir par rapport aux critères majeurs, en tenant compte des critères qui ne concerneraient pas l'établissement, selon la catégorie 5 étoiles</t>
        </r>
      </text>
    </comment>
    <comment ref="E1" authorId="0" shapeId="0" xr:uid="{B2DFFC08-1180-43E1-B3B0-BE0E5F9E839F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Reprend l'évaluation depuis la feuille d'évaluation</t>
        </r>
      </text>
    </comment>
    <comment ref="K1" authorId="0" shapeId="0" xr:uid="{8318128A-C6B2-44E1-8C9B-621D90E6DBD2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la pondération telle qu'elle figure dans l'arrêté des normes de classement</t>
        </r>
      </text>
    </comment>
    <comment ref="L1" authorId="0" shapeId="0" xr:uid="{D4B7715B-DCC4-45ED-A36D-2CDB0ECDD17D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majeurs</t>
        </r>
      </text>
    </comment>
    <comment ref="M1" authorId="0" shapeId="0" xr:uid="{0862B8A0-A9D7-42F3-AC0F-745DC88B5454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les pendérations ajustées de chaque rubrique, pour les critères </t>
        </r>
        <r>
          <rPr>
            <b/>
            <sz val="9"/>
            <color indexed="81"/>
            <rFont val="Tahoma"/>
            <family val="2"/>
          </rPr>
          <t>mineurs</t>
        </r>
      </text>
    </comment>
    <comment ref="N1" authorId="0" shapeId="0" xr:uid="{0DF21EF0-0859-4989-9187-B20009E91440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affiche l'évaluation de la rubrique, multipliée par le facteur de pondération de cette dernière</t>
        </r>
      </text>
    </comment>
    <comment ref="O1" authorId="0" shapeId="0" xr:uid="{CAD4E054-7106-467C-BF08-ED4F24898870}">
      <text>
        <r>
          <rPr>
            <b/>
            <sz val="9"/>
            <color indexed="81"/>
            <rFont val="Tahoma"/>
            <family val="2"/>
          </rPr>
          <t>Abdelilah LAHCHIMI:</t>
        </r>
        <r>
          <rPr>
            <sz val="9"/>
            <color indexed="81"/>
            <rFont val="Tahoma"/>
            <family val="2"/>
          </rPr>
          <t xml:space="preserve">
Taux de conformité au chapitre. Il est affiché plusiuers fois (autant de fois que de rubriques) pour éviter de fusionner.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Grille_consolidée" description="Connexion à la requête « Grille_consolidée » dans le classeur." type="5" refreshedVersion="0" background="1" saveData="1">
    <dbPr connection="Provider=Microsoft.Mashup.OleDb.1;Data Source=$Workbook$;Location=Grille_consolidée;Extended Properties=&quot;&quot;" command="SELECT * FROM [Grille_consolidée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<sst xmlns="http://schemas.openxmlformats.org/spreadsheetml/2006/main" count="8896" uniqueCount="831">
  <si>
    <t>Informations sur l'établissement</t>
  </si>
  <si>
    <t>Nom :</t>
  </si>
  <si>
    <t>Date de création :</t>
  </si>
  <si>
    <t>Nombre de chambres :</t>
  </si>
  <si>
    <t>Nombre de lits :</t>
  </si>
  <si>
    <t>Superficie globale :</t>
  </si>
  <si>
    <t>Superficie du bâti :</t>
  </si>
  <si>
    <t>Coordonnées de l'établissement</t>
  </si>
  <si>
    <t>Adresse :</t>
  </si>
  <si>
    <t>Département :</t>
  </si>
  <si>
    <t>Arrondissement :</t>
  </si>
  <si>
    <t>Commune :</t>
  </si>
  <si>
    <t>Téléphone :</t>
  </si>
  <si>
    <t>Fax :</t>
  </si>
  <si>
    <t>Site Web :</t>
  </si>
  <si>
    <t>Services proposées par l'hôtel</t>
  </si>
  <si>
    <t>Restaurant(s), nombre :</t>
  </si>
  <si>
    <t>.......</t>
  </si>
  <si>
    <t>Bar(s), nombre :</t>
  </si>
  <si>
    <t>Spa</t>
  </si>
  <si>
    <t>Parking</t>
  </si>
  <si>
    <t>Piscine extérieure</t>
  </si>
  <si>
    <t>Piscine intérieure</t>
  </si>
  <si>
    <t>Salle de sport</t>
  </si>
  <si>
    <t>Boutique(s)</t>
  </si>
  <si>
    <t>Terrains de sport</t>
  </si>
  <si>
    <t>Plage</t>
  </si>
  <si>
    <t>Salle de séminaires</t>
  </si>
  <si>
    <t>Autres services (à lister)</t>
  </si>
  <si>
    <t>Service 1</t>
  </si>
  <si>
    <t>Service 2</t>
  </si>
  <si>
    <t>Service 3</t>
  </si>
  <si>
    <t>Etc.</t>
  </si>
  <si>
    <t>Coordonnées du responsable légal de l'établissement</t>
  </si>
  <si>
    <t>NOM, Prénom :</t>
  </si>
  <si>
    <t>Fonction :</t>
  </si>
  <si>
    <t>E-mail :</t>
  </si>
  <si>
    <t>Hôtel 5 étoiles</t>
  </si>
  <si>
    <t>Hôtel 4 étoiles</t>
  </si>
  <si>
    <t>Hôtel 3 étoiles</t>
  </si>
  <si>
    <t>Hôtel 2 étoiles</t>
  </si>
  <si>
    <t>Hôtel 1 étoile</t>
  </si>
  <si>
    <t>1. Structure de la grille :</t>
  </si>
  <si>
    <t>La grille de conformité est structurée de manière organisée pour faciliter l’évaluation des hôtels :</t>
  </si>
  <si>
    <t xml:space="preserve"> - 19 chapitres : chaque chapitre aborde un aspect spécifique de l’établissement, tel que l’extérieur, les espaces communs ou les chambres ;
 - Rubriques : chaque chapitre est subdivisé en une ou plusieurs rubriques pour une évaluation plus précise ;
 - Critères : chaque rubrique contient plusieurs critères à examiner et à renseigner, afin de garantir une analyse complète.</t>
  </si>
  <si>
    <t xml:space="preserve">    1.2. Types de questions :</t>
  </si>
  <si>
    <t xml:space="preserve"> - Questions binaires : réponse par "Oui" ou "Non" ;</t>
  </si>
  <si>
    <t xml:space="preserve"> - Questions à échelle : évaluation allant de 0 à 3 ;</t>
  </si>
  <si>
    <t xml:space="preserve"> - Option NC : l'option "Non Concerné" (NC) permet d’indiquer qu’un critère n'a pas été évalué (exemple : cas de la plage pour les hôtels qui ne se trouvent pas au bord de la mer).</t>
  </si>
  <si>
    <t>2. Règles de Remplissage :</t>
  </si>
  <si>
    <t xml:space="preserve">    2.1. Un seul choix par critère :</t>
  </si>
  <si>
    <r>
      <t xml:space="preserve"> - Vous devez cocher </t>
    </r>
    <r>
      <rPr>
        <b/>
        <sz val="11"/>
        <color rgb="FFDC241F"/>
        <rFont val="Montserrat"/>
      </rPr>
      <t>une seule case</t>
    </r>
    <r>
      <rPr>
        <sz val="11"/>
        <color theme="1"/>
        <rFont val="Montserrat"/>
      </rPr>
      <t xml:space="preserve"> par critère ;</t>
    </r>
  </si>
  <si>
    <r>
      <t xml:space="preserve"> - Si aucune case n’est cochée, le critère restera en rouge pour vous rappeler de le remplir.
   </t>
    </r>
    <r>
      <rPr>
        <b/>
        <sz val="11"/>
        <color rgb="FFDC241F"/>
        <rFont val="Montserrat"/>
      </rPr>
      <t>Aucun résultat ne sera produit tant que le critère est vide.</t>
    </r>
  </si>
  <si>
    <t xml:space="preserve">    2.2. Option non concerncé :</t>
  </si>
  <si>
    <t xml:space="preserve"> - Si un critère n'a pas été évalué pour des raisons pertinentes, cochez l'option "Non Concerné" ;</t>
  </si>
  <si>
    <r>
      <t xml:space="preserve"> - </t>
    </r>
    <r>
      <rPr>
        <b/>
        <sz val="11"/>
        <color rgb="FFDC241F"/>
        <rFont val="Montserrat"/>
      </rPr>
      <t>Attention :</t>
    </r>
    <r>
      <rPr>
        <sz val="11"/>
        <color theme="1"/>
        <rFont val="Montserrat"/>
      </rPr>
      <t xml:space="preserve"> </t>
    </r>
    <r>
      <rPr>
        <b/>
        <sz val="11"/>
        <color theme="1"/>
        <rFont val="Montserrat"/>
      </rPr>
      <t xml:space="preserve">si un chapitre ou une rubrique entière est non concernée, </t>
    </r>
    <r>
      <rPr>
        <b/>
        <sz val="11"/>
        <color rgb="FFDC241F"/>
        <rFont val="Montserrat"/>
      </rPr>
      <t>tous les critères de cette rubrique doivent être renseignés comme "Non Concerné".</t>
    </r>
  </si>
  <si>
    <t>Exemple :</t>
  </si>
  <si>
    <t>Critère 1 "test manuel d'utilisation"</t>
  </si>
  <si>
    <t>NC</t>
  </si>
  <si>
    <t>Oui</t>
  </si>
  <si>
    <t>Non</t>
  </si>
  <si>
    <t>Critère 2 "test manuel d'utilisation"</t>
  </si>
  <si>
    <t>Chapitre : Information et réservation</t>
  </si>
  <si>
    <t>Rubrique : Information</t>
  </si>
  <si>
    <t>Existence d'un site Web de l'établissement</t>
  </si>
  <si>
    <t>Le site Web est en deux langues, dont le français</t>
  </si>
  <si>
    <t>Possibilité d'appeler l'établissement pour se renseigner sur ses services 24h/24</t>
  </si>
  <si>
    <t>Possibilité d'effectuer des réservations en ligne</t>
  </si>
  <si>
    <t>Possibilité de faire une réservation par téléphone</t>
  </si>
  <si>
    <t>Chapitre : extérieur</t>
  </si>
  <si>
    <t>Rubrique : parking et dépose</t>
  </si>
  <si>
    <t>Existence d'un parking réservé aux clients de l'établissement</t>
  </si>
  <si>
    <t>Nombre d'emplacements du parking conforme aux ratios présentés en annexe</t>
  </si>
  <si>
    <t>Pas de parking</t>
  </si>
  <si>
    <t>1/10 max 20</t>
  </si>
  <si>
    <t>1/8 max 40</t>
  </si>
  <si>
    <t>1/5 max 50</t>
  </si>
  <si>
    <t>Parking bien éclairé, de jour comme de nuit</t>
  </si>
  <si>
    <t>Parking propre</t>
  </si>
  <si>
    <t>Emplacements de stationnement signalés</t>
  </si>
  <si>
    <t>Parking surveillé, de jour comme de nuit</t>
  </si>
  <si>
    <t>Une partie du parking est abritée</t>
  </si>
  <si>
    <t>Un ou plusieurs emplacements sont réservés aux personnes à mobilité réduite</t>
  </si>
  <si>
    <t>Existence d'une zone de dépose-minute devant l'entrée de l'établissement</t>
  </si>
  <si>
    <t>Existence d'un service de voiturier</t>
  </si>
  <si>
    <t>Tenue(s) du/des voiturier(s) propre(s)</t>
  </si>
  <si>
    <t>Tenue(s) du/des voiturier(s) en bon état</t>
  </si>
  <si>
    <t>Rubrique : jardins</t>
  </si>
  <si>
    <t>Existence d'un jardin/un parc d'une superficie minimale de 200 m²</t>
  </si>
  <si>
    <t>Jardin(s) propre(s) et bien entretenu(s)</t>
  </si>
  <si>
    <t>Jardin(s) bien éclairé(s)</t>
  </si>
  <si>
    <t>Non-utilisation de pesticides et engrais chimiques</t>
  </si>
  <si>
    <t>Valorisation des déchets organiques en compost</t>
  </si>
  <si>
    <t>Rubrique : façades</t>
  </si>
  <si>
    <t>Existence d'une enseigne</t>
  </si>
  <si>
    <t>Enseigne propre</t>
  </si>
  <si>
    <t>Enseigne en bon état</t>
  </si>
  <si>
    <t>Enseigne éclairée la nuit</t>
  </si>
  <si>
    <t>Extérieurs de l'établissement propres</t>
  </si>
  <si>
    <t>Extérieurs de l'établissement en bon état</t>
  </si>
  <si>
    <t>Chapitre : accueil et réception (partie 1/3)</t>
  </si>
  <si>
    <t>Rubrique : Entrée</t>
  </si>
  <si>
    <t>Entrée privative</t>
  </si>
  <si>
    <t>Entrée indépendante</t>
  </si>
  <si>
    <t>Entrée du personnel séparée de celle du personnel et de la marchandise</t>
  </si>
  <si>
    <t>Entrée des clients abritée des intempéries</t>
  </si>
  <si>
    <t>Entrée des clients accessibles aux personnes à mobilité réduite</t>
  </si>
  <si>
    <t>Existence d'un bagagiste</t>
  </si>
  <si>
    <t>Mise à disposition de chariots</t>
  </si>
  <si>
    <t>Existence d'un portier, à défaut d'une porte s'ouvrant automatiquement</t>
  </si>
  <si>
    <t>Tenue(s) du/des bagagiste(s) et portier(s) propre(s)</t>
  </si>
  <si>
    <t>Tenue(s) du/des bagagiste(s) et portier(s) en bon état</t>
  </si>
  <si>
    <t>Rubrique : hall d'accueil et salons</t>
  </si>
  <si>
    <t>Respect de la surface minimale du hall d'accueil (annexe)</t>
  </si>
  <si>
    <t>sol, murs et plafonds propres</t>
  </si>
  <si>
    <t>sol, murs et plafonds en bon état</t>
  </si>
  <si>
    <t>Hall d'accueil climatisé</t>
  </si>
  <si>
    <t>Connexion WIFI dans le hall d'accueil</t>
  </si>
  <si>
    <t>WIFI gratuit pour les clients résidents</t>
  </si>
  <si>
    <t>Hall d'accueil comportant des assises de type fauteuils, chaises… et de tables basses à raison d'une place assise par 10 chambres, avec un minimum de 6 places assises</t>
  </si>
  <si>
    <t>Mobilier du hall d'accueil propre</t>
  </si>
  <si>
    <t>Mobilier du hall d'accueil en bon état</t>
  </si>
  <si>
    <t>Interdiction de fumer dans le hall d'accueil</t>
  </si>
  <si>
    <t>Existence d'une signalétique relative à l'accès aux différents services et points de vente que comporte l'établissement</t>
  </si>
  <si>
    <t>Eclairage en lampes à basse consommation ou en LED</t>
  </si>
  <si>
    <t>Chapitre : accueil et réception (partie 2/3)</t>
  </si>
  <si>
    <t>Rubrique : réception</t>
  </si>
  <si>
    <t>Espace de réception identifiée grâce à un affichage et comportant un comptoir, un bureau ou une table</t>
  </si>
  <si>
    <t>Affichage des prix des différentes catégories de chambres de manière visible aux clients.</t>
  </si>
  <si>
    <t>Affichage des moyens de paiement acceptés</t>
  </si>
  <si>
    <t>Respect des horaires de disponibilité de la réception (annexe)</t>
  </si>
  <si>
    <t>Moins de 12H/J</t>
  </si>
  <si>
    <t>Entre 12H et 16H/J</t>
  </si>
  <si>
    <t>Entre 16H et 24/J</t>
  </si>
  <si>
    <t>24h/24</t>
  </si>
  <si>
    <t>Existence de documents relatifs aux principales attractions touristiques dans la zone d'implantation de l'hôtel</t>
  </si>
  <si>
    <t>Informations sur les attractions touristiques en deux langues</t>
  </si>
  <si>
    <t>Existence d'un coffre-fort pour consigner les objets de valeur des clients résidents</t>
  </si>
  <si>
    <t>Possibilité de payer par carte bancaire</t>
  </si>
  <si>
    <t>Existence d'un distributeur de billets de banques</t>
  </si>
  <si>
    <t>Mise à la disposition des clients d'un adaptateur électrique (sur demande)</t>
  </si>
  <si>
    <t>Personnel de la réception portant un uniforme/une tenue</t>
  </si>
  <si>
    <t>Personnel de la réception disposant d'un badge</t>
  </si>
  <si>
    <t>Badge du personnel de réception indiquant le nom de la personne et les langues qu'elle parle</t>
  </si>
  <si>
    <t>Tenue du personnel de la réception propre</t>
  </si>
  <si>
    <t>Tenue du personnel de la réception en bon état</t>
  </si>
  <si>
    <t>Existence d'une charte environnement ou développement durable</t>
  </si>
  <si>
    <t>Sensibilisation des clients sur la politique de développement durable (si elle existe)</t>
  </si>
  <si>
    <t>Chapitre : accueil et réception (partie 3/3)</t>
  </si>
  <si>
    <t>Rubrique : conciergerie</t>
  </si>
  <si>
    <t>Existence d'un service de conciergerie indiqué (comptoir et équipe dédiée)</t>
  </si>
  <si>
    <t>Personnel de la conciergerie portant un uniforme/tenue</t>
  </si>
  <si>
    <t>Tenue du personnel de la conciergerie propre</t>
  </si>
  <si>
    <t>Tenue du personnel de la conciergerie en bon état</t>
  </si>
  <si>
    <t>Possibilité d'effectuer un change de devises. Dans ce cas, le taux de change doit être affiché et bien visible et disposer des autorisations nécessaires</t>
  </si>
  <si>
    <t>Possibilité de faire une impression ou d'obtenir une photocopie</t>
  </si>
  <si>
    <t>Service de réveil</t>
  </si>
  <si>
    <t>Service de couture</t>
  </si>
  <si>
    <t>Service de cirage des chaussures</t>
  </si>
  <si>
    <t>Service de billetterie/réservation d'excursions, spectacles, moyens de transport…</t>
  </si>
  <si>
    <t>Mise à disposition du journal du jour</t>
  </si>
  <si>
    <t>Rubrique : bagagerie</t>
  </si>
  <si>
    <t>Existence d'une bagagerie sécurisée</t>
  </si>
  <si>
    <t>Bagagerie compartimentée, comportant des étagères et/ou des casiers</t>
  </si>
  <si>
    <t>Chapitre : sanitaires publiques</t>
  </si>
  <si>
    <t>Rubrique : aspect général</t>
  </si>
  <si>
    <t>Existence de sanitaires communs</t>
  </si>
  <si>
    <t>Sanitaires communs séparés pour hommes et femmes</t>
  </si>
  <si>
    <t>Sanitaires adaptées aux personnes à mobilité réduite</t>
  </si>
  <si>
    <t>Existence d'un système de ventilation ou d'extraction de l'air</t>
  </si>
  <si>
    <t>Sol, murs, plafonds, portes et équipements des sanitaires propres</t>
  </si>
  <si>
    <t>Sol, murs, plafonds, portes et équipements des sanitaires en bon état</t>
  </si>
  <si>
    <t>Sanitaires bien éclairés</t>
  </si>
  <si>
    <t>Eclairage en lampes à basse consommation ou en LED ou existence de détecteurs de présence</t>
  </si>
  <si>
    <t>Rubrique : cabines de toilette</t>
  </si>
  <si>
    <t>Cuvettes propres</t>
  </si>
  <si>
    <t>Cuvettes en bon état</t>
  </si>
  <si>
    <t>Mis à disposition de papier hygiénique, dans un support</t>
  </si>
  <si>
    <t>Poubelle avec couvercle au niveau de l'ensemble des cabines de toilette</t>
  </si>
  <si>
    <t>Existence d'une patère derrière la porte au niveau de chaque cabine de toilette</t>
  </si>
  <si>
    <t>Utilisation de chasse d'eau économiques (max. 6 litres)</t>
  </si>
  <si>
    <t>Rubrique : lavabo</t>
  </si>
  <si>
    <t>Existence de lavabos</t>
  </si>
  <si>
    <t>Lavabos propres</t>
  </si>
  <si>
    <t>Lavabos en bon état</t>
  </si>
  <si>
    <t>Eau chaude et froide</t>
  </si>
  <si>
    <t>Distributeur de savon liquide</t>
  </si>
  <si>
    <t>Sèche-main ou distributeur de serviettes à usage unique</t>
  </si>
  <si>
    <t>Lavabos dotés de miroirs</t>
  </si>
  <si>
    <t>Débit maximum de l'eau ne dépassant pas 8 lites/minute</t>
  </si>
  <si>
    <t>Chapitre : circulation</t>
  </si>
  <si>
    <t>Rubrique : couloirs et allées</t>
  </si>
  <si>
    <t>Couloir et allées d'une largeur minimale de 90 cm</t>
  </si>
  <si>
    <t>Couloir et allées propres</t>
  </si>
  <si>
    <t>Couloir et allées en bon état</t>
  </si>
  <si>
    <t>Existence de signalétique relative aux divers services de l'établissement</t>
  </si>
  <si>
    <t>Couloirs bien éclairé, de jour comme de nuit</t>
  </si>
  <si>
    <t>Détecteur de présence dans les couloir</t>
  </si>
  <si>
    <t>Rubrique : ascenseurs</t>
  </si>
  <si>
    <t>Existence d'ascenseur(s) réservé(s) aux clients de l'établissement (à partir de trois niveaux)</t>
  </si>
  <si>
    <t>Ascenseur(s) propre(s)</t>
  </si>
  <si>
    <t>Ascenseur(s) en bon état</t>
  </si>
  <si>
    <t>Existence d'une signalétique dans la cabine de l'ascenseur, indiquant l'accès aux chambres ainsi qu'aux différents services de l'établissement.</t>
  </si>
  <si>
    <t>Existence d'un ascenseur de service (à partir de trois niveaux)</t>
  </si>
  <si>
    <t>Chapitre : petit déjeuner</t>
  </si>
  <si>
    <t>Rubrique : généralités</t>
  </si>
  <si>
    <t>Petit-déjeuner servi dans une salle dédiée</t>
  </si>
  <si>
    <t>Sol, murs et plafonds de la salle du petit-déjeuner propres</t>
  </si>
  <si>
    <t>Sol, murs et plafonds de la salle du petit-déjeuner en bon état</t>
  </si>
  <si>
    <t>Respect du nombre minimum de gammes du petit déjeuner (annexe)</t>
  </si>
  <si>
    <t>Non concerné</t>
  </si>
  <si>
    <t>Pas de petit déjeuner</t>
  </si>
  <si>
    <t>Continental</t>
  </si>
  <si>
    <t>De 5 à 9</t>
  </si>
  <si>
    <t>De 10 à 11</t>
  </si>
  <si>
    <t>12 et plus</t>
  </si>
  <si>
    <t>Petit-déjeuner servi dans une terrasse (en plus de la salle de petit déjeuner)</t>
  </si>
  <si>
    <t>Petit-déjeuner servi dans la chambre</t>
  </si>
  <si>
    <t>Salle du petit-déjeuner climatisée (entre 18 et 25 °C)</t>
  </si>
  <si>
    <t>Utilisation de produits locaux (minimum 5%)</t>
  </si>
  <si>
    <t>Rubrique : équipement et mobilier</t>
  </si>
  <si>
    <t>Equipements de travail  (comptoirs, consoles, tables de service, aires de buffet…) propres</t>
  </si>
  <si>
    <t>Equipements de travail  (comptoirs, consoles, tables de service, aires de buffet…) en bon état</t>
  </si>
  <si>
    <t>Couverts et vaisselle propres</t>
  </si>
  <si>
    <t>Couverts et vaisselle en bon état</t>
  </si>
  <si>
    <t>Tables, assises et linge de table (nappes, serviettes…) propres</t>
  </si>
  <si>
    <t>Tables, assises et linge de table (nappes, serviettes…) en bon état</t>
  </si>
  <si>
    <t>Chapitre : restaurant principal</t>
  </si>
  <si>
    <t>Existence d'un restaurant principal</t>
  </si>
  <si>
    <t>Respect de la superficie minimale exigée du restaurant</t>
  </si>
  <si>
    <t>moins de 0,5m² par lit</t>
  </si>
  <si>
    <t>Entre 0,5m² et 1 m² par lit</t>
  </si>
  <si>
    <t>Entre 1 m² et 1,5 m² par lit</t>
  </si>
  <si>
    <t>Plus de 1,5 m² par lit</t>
  </si>
  <si>
    <t>Sol, murs et plafonds du restaurant propres</t>
  </si>
  <si>
    <t>Sol, murs et plafonds du restaurant en bon état</t>
  </si>
  <si>
    <t>Restaurant climatisé (entre 18 et 25 °C), sauf si le restaurant est extérieur</t>
  </si>
  <si>
    <t>Utilisation de produits locaux, à hauteur de 10%</t>
  </si>
  <si>
    <t>Eclairage à travers des lampes à basse consommation ou des LED</t>
  </si>
  <si>
    <t>Equipements de travail (comptoirs, consoles, tables de service, aires de buffet…) propres</t>
  </si>
  <si>
    <t>Equipements de travail (comptoirs, consoles, tables de service, aires de buffet…) bon état</t>
  </si>
  <si>
    <t>Existence de chaises hautes adaptées aux enfants</t>
  </si>
  <si>
    <t>Existence d'un menu</t>
  </si>
  <si>
    <t>Menu en deux langues</t>
  </si>
  <si>
    <t>Chapitre : restaurant thématique</t>
  </si>
  <si>
    <t>Existence d'un restaurant thématique</t>
  </si>
  <si>
    <t>Pas de restaurant</t>
  </si>
  <si>
    <t>Existence de chaises hautes adaptées aux enfants, à raison de 1 chaise haute pour 20 tables</t>
  </si>
  <si>
    <t>Chapitre : bar</t>
  </si>
  <si>
    <t>Existence d'un bar</t>
  </si>
  <si>
    <t>moins de 0,3m² par lit</t>
  </si>
  <si>
    <t>Entre 0,3 m² et 0,5 m² par lit</t>
  </si>
  <si>
    <t>Entre 0,5 m² et 0,8 m² par lit</t>
  </si>
  <si>
    <t>Plus de 0,8 m² par lit</t>
  </si>
  <si>
    <t>Bar climatisé (entre 18 et 25 °C)</t>
  </si>
  <si>
    <t>Equipements du bar propres</t>
  </si>
  <si>
    <t>Equipements du bar en bon état</t>
  </si>
  <si>
    <t>Verrie propre</t>
  </si>
  <si>
    <t>Verrie en bon état</t>
  </si>
  <si>
    <t>Tables et assises propres</t>
  </si>
  <si>
    <t>Tables et assises en bon état</t>
  </si>
  <si>
    <t>Tenue du barman propre</t>
  </si>
  <si>
    <t>Tenue du barman en bon état</t>
  </si>
  <si>
    <t>Chapitre : salle(s) de séminaires, de réunions et de cérémonies</t>
  </si>
  <si>
    <t>Rubrique : salle polyvalente</t>
  </si>
  <si>
    <t>Existence d'une ou de plusieurs salles polyvalentes d'une superficie minimale globale de 200 m²</t>
  </si>
  <si>
    <t>Salle(s) polyvalente(s) propres</t>
  </si>
  <si>
    <t>Salle(s) polyvalente(s) en bon état</t>
  </si>
  <si>
    <t>Salle(s) polyvalente(s) climatisée(s) (entre 18 et 25 °C)</t>
  </si>
  <si>
    <t>Rubrique : salles de réunion</t>
  </si>
  <si>
    <t>Existence d'une ou de plusieurs salles de réunions</t>
  </si>
  <si>
    <t>Salle(s) de réunions propres</t>
  </si>
  <si>
    <t>Salle(s) de réunions en bon état</t>
  </si>
  <si>
    <t>Salle(s) de réunions climatisée(s) (entre 18 et 25 °C)</t>
  </si>
  <si>
    <t>Rubrique : équipements</t>
  </si>
  <si>
    <t>Salle(s) polyvalente(s) et salles de réunions dotée(s) d'un ou de plusieurs écrans de projection adapté(s) à l'espace</t>
  </si>
  <si>
    <t>Salle(s) polyvalente(s) et salles de réunions équipée(s) d'un système de sonorisation en bon état</t>
  </si>
  <si>
    <t>Salle(s) polyvalente(s) et salles de réunion disposant d'une connexion WIFI</t>
  </si>
  <si>
    <t>Possibilité de faire des impressions et des photocopies</t>
  </si>
  <si>
    <t>Equipements des salles polyvalente(s) et salles de réunion propres</t>
  </si>
  <si>
    <t>Equipements des salles polyvalente(s) et salles de réunion en bon état</t>
  </si>
  <si>
    <t>Chapitre : bien-être et fitness (partie 1/2)</t>
  </si>
  <si>
    <t>Rubrique : accueil et information</t>
  </si>
  <si>
    <t>Existence d'un spa</t>
  </si>
  <si>
    <t>Existence d'un espace d'accueil et d'information des clients</t>
  </si>
  <si>
    <t>Existence d'une fiche relative à la santé des clients, dans le respect des règles de confidentialité des données personnelles</t>
  </si>
  <si>
    <t>Liste des prix visible pour les clients</t>
  </si>
  <si>
    <t>Rubrique : hammam</t>
  </si>
  <si>
    <t>Spa comportant un ou plusieurs hammams</t>
  </si>
  <si>
    <t>Hammam(s) propre(s)</t>
  </si>
  <si>
    <t>Hammam(s) en bon état</t>
  </si>
  <si>
    <t>Rubrique : sauna</t>
  </si>
  <si>
    <t>Spa comportant un ou plusieurs saunas</t>
  </si>
  <si>
    <t>Sauna(s) propre(s)</t>
  </si>
  <si>
    <t>Sauna(s) en bon état</t>
  </si>
  <si>
    <t>Rubrique : massage</t>
  </si>
  <si>
    <t>Spa comprenant au moins deux salles de massage</t>
  </si>
  <si>
    <t>Existence d'un point d'eau chaude et froide et d'un lavabo à l'intérieur de chaque salle de massage</t>
  </si>
  <si>
    <t>Salle(s) de massages propre(s)</t>
  </si>
  <si>
    <t>Salle(s) de massages en bon état</t>
  </si>
  <si>
    <t>Masseurs/masseuses disposant d'une formation dans le domaine</t>
  </si>
  <si>
    <t>Rubrique : Jacuzzi</t>
  </si>
  <si>
    <t>Spa comprenant un ou plusieurs jacuzzi(s)</t>
  </si>
  <si>
    <t>Jacuzzi(s) propre(s)</t>
  </si>
  <si>
    <t>Jacuzzi(s) en bon état</t>
  </si>
  <si>
    <t>Rubrique : salon de beauté</t>
  </si>
  <si>
    <t>Spa comprenant un ou plusieurs salons de beauté</t>
  </si>
  <si>
    <t xml:space="preserve">Salon(s) de beauté propre(s) </t>
  </si>
  <si>
    <t>Salon(s) de beauté en bon état</t>
  </si>
  <si>
    <t>Equipement du salon de beauté aseptisé</t>
  </si>
  <si>
    <t>Chapitre : bien-être et fitness (partie 2/2)</t>
  </si>
  <si>
    <t>Rubrique : salle de fitness</t>
  </si>
  <si>
    <t>Existence d'une salle de fitness comportant au moins quatre types d'appareils, dont des appareils de cardio-training</t>
  </si>
  <si>
    <t>Salle de fitness équipée d'un grand miroir</t>
  </si>
  <si>
    <t>Salle de fitness équipé d'un système sonore</t>
  </si>
  <si>
    <t>Salle de fitness climatisée (entre 18 et 22 °C)</t>
  </si>
  <si>
    <t>Existence d'un moniteur ou une monitrice au moins 8 heures par jour</t>
  </si>
  <si>
    <t>Mise à la disposition des clients de serviettes</t>
  </si>
  <si>
    <t>Distributeur de l'eau potable ou bouteilles d'eau</t>
  </si>
  <si>
    <t>Salle de fitness bien aérée</t>
  </si>
  <si>
    <t>Salle de fitness propre</t>
  </si>
  <si>
    <t>Salle de fitness en bon état</t>
  </si>
  <si>
    <t>Rubrique : vestiaires et douches</t>
  </si>
  <si>
    <t>Existence de douches (minimum 4). Les douches peuvent être communes avec le spa</t>
  </si>
  <si>
    <t>Douches propres</t>
  </si>
  <si>
    <t>Douches en bon état</t>
  </si>
  <si>
    <t>Débit des douches ne dépassant pas 9 litres par minute</t>
  </si>
  <si>
    <t>Existence de vestiaires</t>
  </si>
  <si>
    <t>Vestiaires propres</t>
  </si>
  <si>
    <t>Vestiaires en bon état</t>
  </si>
  <si>
    <t>Chapitre : piscine extérieur (partie 1/2)</t>
  </si>
  <si>
    <t>Existence d'une piscine extérieure</t>
  </si>
  <si>
    <t>Piscine(s) propre(s)</t>
  </si>
  <si>
    <t>Piscine(s) en bon état</t>
  </si>
  <si>
    <t>Prélèvement et analyse réguliers de la qualité de l'eau</t>
  </si>
  <si>
    <t>Traitement écologique de l'eau de la piscine</t>
  </si>
  <si>
    <t>Rubrique : sécurité de la piscine</t>
  </si>
  <si>
    <t>Horaire de baignade affichés</t>
  </si>
  <si>
    <t>Consignes de sécurité et d'utilisation de la piscine affichées</t>
  </si>
  <si>
    <t>Existence d'une bouée de sauvetage</t>
  </si>
  <si>
    <t>Existence d'un maitre nageur pendant toute la période de la baignade</t>
  </si>
  <si>
    <t>Profondeur de la piscine marquée et bien visible</t>
  </si>
  <si>
    <t>Sol des abords de la piscine antidérapant</t>
  </si>
  <si>
    <t>Rubrique : équipements et mobilier</t>
  </si>
  <si>
    <t>Existence d'une ou de plusieurs douches à proximité de la piscine</t>
  </si>
  <si>
    <t>Douches à bouton-poussoir ou à détection</t>
  </si>
  <si>
    <t>Existence de parasol, de transats et de tables basses</t>
  </si>
  <si>
    <t>Parasol, transats et tables basses propres</t>
  </si>
  <si>
    <t>Parasol, transats et tables basses en bon état</t>
  </si>
  <si>
    <t>Mise à la disposition des clients de serviettes de piscine</t>
  </si>
  <si>
    <t>Serviettes propres</t>
  </si>
  <si>
    <t>Serviettes en bon état</t>
  </si>
  <si>
    <t>Equipement sonore de la piscine</t>
  </si>
  <si>
    <t>Chapitre : piscine extérieur (partie 2/2)</t>
  </si>
  <si>
    <t>Rubrique : snack-bar</t>
  </si>
  <si>
    <t>Existence d'un snack-bar à proximité de la piscine</t>
  </si>
  <si>
    <t>Snack-bar propre</t>
  </si>
  <si>
    <t>Snack-bar en bon état</t>
  </si>
  <si>
    <t>Rubrique : vestiaires et sanitaires</t>
  </si>
  <si>
    <t>Existence de vestiaires séparés pour hommes et femmes (dans le cas où la piscine est ouverte à des clients externes)</t>
  </si>
  <si>
    <t>Sol, murs, plafonds, portes et équipements des vestiaires propres</t>
  </si>
  <si>
    <t>Sol, murs, plafonds, portes et équipements des vestiaires en bon état</t>
  </si>
  <si>
    <t>Existence de sanitaires (minimum 2)</t>
  </si>
  <si>
    <t>Chapitre : piscine pour enfants</t>
  </si>
  <si>
    <t>Rubrique : piscine pour enfants</t>
  </si>
  <si>
    <t>Existence d'une piscine pour enfants</t>
  </si>
  <si>
    <t>Chapitre : autres animations</t>
  </si>
  <si>
    <t>Rubrique : night-club ou discothéque</t>
  </si>
  <si>
    <t>Existence d'un night-club ou discothèque</t>
  </si>
  <si>
    <t>Sol, murs et plafonds propres</t>
  </si>
  <si>
    <t>Sol, murs et plafonds en bon état</t>
  </si>
  <si>
    <t>Rubrique : animation 2 (à préciser lors de l'audit)</t>
  </si>
  <si>
    <t>Existence de l'animation</t>
  </si>
  <si>
    <t>Evaluation de la propreté/hygiène</t>
  </si>
  <si>
    <t>Evaluation de l'état général</t>
  </si>
  <si>
    <t>Rubrique : animation 3 (à préciser lors de l'audit)</t>
  </si>
  <si>
    <t>Rubrique : animation 4 (à préciser lors de l'audit)</t>
  </si>
  <si>
    <t>Rubrique : autres animations (à préciser lors de l'audit)</t>
  </si>
  <si>
    <t>Chapitre : boutique</t>
  </si>
  <si>
    <t>Rubrique : boutique</t>
  </si>
  <si>
    <t>Existence d'une ou de plusieurs boutiques</t>
  </si>
  <si>
    <t>Prix affichés</t>
  </si>
  <si>
    <t>Boutiques propres</t>
  </si>
  <si>
    <t>Boutiques en bon état</t>
  </si>
  <si>
    <t>Chapitre : espaces d'habitation (partie 1/4)</t>
  </si>
  <si>
    <t>Respect de la surface minimale de la chambre (annexe)</t>
  </si>
  <si>
    <t>Moins de 10 m²</t>
  </si>
  <si>
    <t>Min. 10 m²</t>
  </si>
  <si>
    <t>Min. 15 m²</t>
  </si>
  <si>
    <t>Min. 20 m²</t>
  </si>
  <si>
    <t>Min. 25 m²</t>
  </si>
  <si>
    <t>Min. 30 m²</t>
  </si>
  <si>
    <t>Un minimum de 50% des chambres est réservé pour les non-fumeurs</t>
  </si>
  <si>
    <t>Murs, sol et plafonds propres</t>
  </si>
  <si>
    <t>Murs, sol et plafonds en bon état</t>
  </si>
  <si>
    <t>Isolation phonique (51 dB)</t>
  </si>
  <si>
    <t>Espaces d'habitation climatisés (entre 18 et 22 °C)</t>
  </si>
  <si>
    <t>Espaces d'habitation dotés d'un système de coupure du courant lorsqu'ils ne sont pas occupés</t>
  </si>
  <si>
    <t>Sensibilisation des clients sur l'importance de l'optimisation de l'énergie et de l'eau</t>
  </si>
  <si>
    <t>Rubrique : porte</t>
  </si>
  <si>
    <t>Portes des chambres équipées d'un système de verrouillage (carte magnétique, serrure, etc.) permettant une fermeture de l'intérieur</t>
  </si>
  <si>
    <t>Portes des chambres équipées d'un judas</t>
  </si>
  <si>
    <t xml:space="preserve">Portes des chambres équipées d'une chainette ou d'un crochet </t>
  </si>
  <si>
    <t>Affichage des tarifs de la chambre derrière la porte</t>
  </si>
  <si>
    <t>Affichage du plan d'évacuation d'urgence</t>
  </si>
  <si>
    <t>Porte dotée d'un ferme-porte (se fermant seule lorsqu'elle est laissée ouverte)</t>
  </si>
  <si>
    <t>Porte d'entrée propre</t>
  </si>
  <si>
    <t>Porte d'entrée en bon état</t>
  </si>
  <si>
    <t>Rubrique : placard/penderie/dressing</t>
  </si>
  <si>
    <t>Existence d'une penderie d'une profondeur minimale de 60 cm</t>
  </si>
  <si>
    <t>Penderie fermée</t>
  </si>
  <si>
    <t>Penderie comportant une barre pour l'accrochage des vêtements</t>
  </si>
  <si>
    <t>Penderie comportant des cintres identiques correspondant au standing de l'établissement (les cintres en plastiques ne sont pas acceptés que dans les catégories 1 et 2 étoiles)</t>
  </si>
  <si>
    <t>Nombre de cintres conforme aux exigences en annexe (CB = ; CP = Cintre à pince)</t>
  </si>
  <si>
    <t>Pas de cintres</t>
  </si>
  <si>
    <t>2CB</t>
  </si>
  <si>
    <t>3CB</t>
  </si>
  <si>
    <t>3CB+2CP</t>
  </si>
  <si>
    <t>4CB+2CP</t>
  </si>
  <si>
    <t>Penderie comportant des tiroirs</t>
  </si>
  <si>
    <t>Penderie comportant un coffre-fort fixé</t>
  </si>
  <si>
    <t>Penderie propre</t>
  </si>
  <si>
    <t>Penderie en bon état</t>
  </si>
  <si>
    <t>Chapitre : espaces d'habitation (partie 2/4)</t>
  </si>
  <si>
    <t>Rubrique : literie</t>
  </si>
  <si>
    <t>Existence d'un lit (dimensions minimales des lits doubles 1,40 cm x 1,90  cm ; dimensions des lits jumeaux  : 0,80 cm x 1,90 cm)</t>
  </si>
  <si>
    <t>Lit disposant d'un sommier en bon état</t>
  </si>
  <si>
    <t>Existence d'un matelas en bon état</t>
  </si>
  <si>
    <t>Matelas protégé (alèse)</t>
  </si>
  <si>
    <t>Existence d'une tête de lit</t>
  </si>
  <si>
    <t>Existence d'une couette ou d'une couverture (les couvertures ne sont admises que pour les catégories 1, 2 et 3 étoiles).</t>
  </si>
  <si>
    <t>Existence d'un drap séparant la couette/couverture du lit ou drap de housse</t>
  </si>
  <si>
    <t>Existence d'oreillers (au moins deux pour les lits doubles et 1 pour les lits individuels)</t>
  </si>
  <si>
    <t>Oreiller supplémentaire</t>
  </si>
  <si>
    <t>Oreillers protégés</t>
  </si>
  <si>
    <t>Lit pour bébé sur demande</t>
  </si>
  <si>
    <t>Literie propre</t>
  </si>
  <si>
    <t>Literie en bon état</t>
  </si>
  <si>
    <t>Rubrique : rideaux</t>
  </si>
  <si>
    <t>Existence de rideaux ou stores</t>
  </si>
  <si>
    <t>Rideaux couvrant toute la surface des fenêtres, permettant d'avoir une obscurité parfaite lorsqu'ils sont fermés (le black-out)</t>
  </si>
  <si>
    <t>Rideaux/stores propres</t>
  </si>
  <si>
    <t>Rideaux/stores en bon état</t>
  </si>
  <si>
    <t>Rubrique : mobilier</t>
  </si>
  <si>
    <t>Porte-bagages, correspondant au standing de l'établissement</t>
  </si>
  <si>
    <t>Une table de chevet par couchage</t>
  </si>
  <si>
    <t>Une coiffeuse ou un bureau</t>
  </si>
  <si>
    <t>Une assise (chaise, fauteuil…) par occupant</t>
  </si>
  <si>
    <t>Une table ou une table basse</t>
  </si>
  <si>
    <t>Un grand miroir, permettant de se voir en entier</t>
  </si>
  <si>
    <t>Une boite à rebus/poubelle</t>
  </si>
  <si>
    <t>Mobilier propre</t>
  </si>
  <si>
    <t>Chapitre : espaces d'habitation (partie 3/4)</t>
  </si>
  <si>
    <t>Rubrique : télévision</t>
  </si>
  <si>
    <t>Existence d'une télévision</t>
  </si>
  <si>
    <t>Télévision à écran plat</t>
  </si>
  <si>
    <t>Diamètre de la télévision supérieur ou égal à 46 pouces</t>
  </si>
  <si>
    <t>Possibilité d'accéder à des chaines internationales</t>
  </si>
  <si>
    <t>Guide/liste des chaines TV</t>
  </si>
  <si>
    <t>Signal de bonne qualité</t>
  </si>
  <si>
    <t>Fils électriques invisibles</t>
  </si>
  <si>
    <t>Télévision (dont la télécommande) propre</t>
  </si>
  <si>
    <t>Télévision (dont la télécommande) en bon état</t>
  </si>
  <si>
    <t>Rubrique : téléphone et internet</t>
  </si>
  <si>
    <t>Téléphone permettant de passer des appels internes</t>
  </si>
  <si>
    <t>Téléphone permettant de passer des appels externes</t>
  </si>
  <si>
    <t>Répertoire/liste des numéros utiles</t>
  </si>
  <si>
    <t>Téléphone propre</t>
  </si>
  <si>
    <t>Téléphone en bon état</t>
  </si>
  <si>
    <t>Connexion WIFI dans l'ensemble des espaces d'habitation</t>
  </si>
  <si>
    <t>Rubrique : équipements électriques et éclairage</t>
  </si>
  <si>
    <t>Interrupteur d'éclairage central à l'entrée de l'espace d'habitation et à proximité du lit</t>
  </si>
  <si>
    <t>Prise de courant libre à proximité du bureau/coiffeuse</t>
  </si>
  <si>
    <t>Point lumineux sur le bureau, la table ou la coiffeuse</t>
  </si>
  <si>
    <t>Prise de courant libre par couchage, à proximité de la table de chevet</t>
  </si>
  <si>
    <t>Une lampe de chevet par couchage</t>
  </si>
  <si>
    <t>Eclairage en tête de lit avec interrupteur indépendant</t>
  </si>
  <si>
    <t>Lampe ou lampadaire supplémentaire</t>
  </si>
  <si>
    <t>Equipements électriques propres</t>
  </si>
  <si>
    <t>Equipements électriques en bon état</t>
  </si>
  <si>
    <t>Chapitre : espaces d'habitation (partie 4/4)</t>
  </si>
  <si>
    <t>Rubrique : autres équipements</t>
  </si>
  <si>
    <t>Minibar</t>
  </si>
  <si>
    <t>Minibar rempli</t>
  </si>
  <si>
    <t>Minibar comportant au moins quatre types de boissons</t>
  </si>
  <si>
    <t>Minibar comportant des snacks</t>
  </si>
  <si>
    <t>Prix du contenu du minibar affichés</t>
  </si>
  <si>
    <t>Radio-réveil ou station d'accueil</t>
  </si>
  <si>
    <t>Machine à café</t>
  </si>
  <si>
    <t>Bouilloire</t>
  </si>
  <si>
    <t>Room-directory</t>
  </si>
  <si>
    <t>Equipements propres</t>
  </si>
  <si>
    <t>Equipements bon état</t>
  </si>
  <si>
    <t>Rubrique : services</t>
  </si>
  <si>
    <t>Ménage quotidien</t>
  </si>
  <si>
    <t xml:space="preserve">Service de blanchisserie/pressing </t>
  </si>
  <si>
    <t>Prêt sur demande d'un nécessaire pour repasser</t>
  </si>
  <si>
    <t>Room-service 24H/24</t>
  </si>
  <si>
    <t>Chapitre : salle de bain et toilettes (partie 1/3)</t>
  </si>
  <si>
    <t>100% des chambres disposent d'une salle de bain et de toilettes privées</t>
  </si>
  <si>
    <t>Salle de bain équipée d'un système d'aération</t>
  </si>
  <si>
    <t>Existence d'un affichage proposant aux clients la réutilisation des serviettes</t>
  </si>
  <si>
    <t>Existence d'un lavabo</t>
  </si>
  <si>
    <t>Lavabo doté d'un miroir</t>
  </si>
  <si>
    <t>Point lumineux au-dessus du miroir</t>
  </si>
  <si>
    <t>Prise de rasoir</t>
  </si>
  <si>
    <t>Miroir agrandissant</t>
  </si>
  <si>
    <t>Lavabo et ses équipements propres</t>
  </si>
  <si>
    <t>Lavabo et ses équipements en bon état</t>
  </si>
  <si>
    <t>Rubrique : douche</t>
  </si>
  <si>
    <t>Existence d'une douche (si l'établissement dispose d'une baignoire au lieu de la douche, ignorer cette partie)</t>
  </si>
  <si>
    <t>Cabine de douche de dimensions minimales de 90cmx90cm</t>
  </si>
  <si>
    <t>Débit de la douche ne dépassant pas 9 litres par minute</t>
  </si>
  <si>
    <t>Sol de la douche antidérapant</t>
  </si>
  <si>
    <t>Douche protégée par une pare-douche ou une porte</t>
  </si>
  <si>
    <t>Douche protégée par un rideau propre et en parfait état (à défaut de l'existence d'un porte ou un pare-douche)</t>
  </si>
  <si>
    <t>Douche "à l'italienne"</t>
  </si>
  <si>
    <t>Hauteur de l'eau ajustable (lorsqu'elle n'est pas fixée au plafond)</t>
  </si>
  <si>
    <t>Porte-savonnette</t>
  </si>
  <si>
    <t>Tous les éléments de la douche sont en matière inoxydables</t>
  </si>
  <si>
    <t>Douche bien éclairée</t>
  </si>
  <si>
    <t>Patère à proximité de la douche</t>
  </si>
  <si>
    <t>Douche propre</t>
  </si>
  <si>
    <t>Douche en bon état</t>
  </si>
  <si>
    <t>Chapitre : salle de bain et toilettes (partie 2/3)</t>
  </si>
  <si>
    <t>Rubrique : baignoire</t>
  </si>
  <si>
    <t>Existence d'une baignoire (si l'établissement n'a pas de douche, toutes les normes de la baignoire deviennent Majeurs)</t>
  </si>
  <si>
    <t>Baignoire séparée de la douche (si les deux existent)</t>
  </si>
  <si>
    <t>Poignée de sécurité</t>
  </si>
  <si>
    <t>Douchette à la main</t>
  </si>
  <si>
    <t>Baignoire propre</t>
  </si>
  <si>
    <t>Baignoire en bon état</t>
  </si>
  <si>
    <t>Patère à proximité de la baignoire</t>
  </si>
  <si>
    <t>Rubrique : équipements de la salle de bain</t>
  </si>
  <si>
    <t>Sèche-cheveux</t>
  </si>
  <si>
    <t>Poubelle avec couvercle</t>
  </si>
  <si>
    <t>Rack serviettes mural</t>
  </si>
  <si>
    <t>Porte serviettes</t>
  </si>
  <si>
    <t>Sèche-serviettes</t>
  </si>
  <si>
    <t>Fil à linge</t>
  </si>
  <si>
    <t>Equipements de la salle de bain propres</t>
  </si>
  <si>
    <t>Equipements de la salle de bain en bon état</t>
  </si>
  <si>
    <t>Rubrique : linge de la salle de bain</t>
  </si>
  <si>
    <t>Serviettes de bain à raison d'une serviette par couchage</t>
  </si>
  <si>
    <t>Un peignoir par couchage</t>
  </si>
  <si>
    <t>Une pair de chausson par couchage</t>
  </si>
  <si>
    <t>Tapis de bain</t>
  </si>
  <si>
    <t>Un essuie-main par couchage</t>
  </si>
  <si>
    <t>Un carré de visage par personne</t>
  </si>
  <si>
    <t>Linge de la salle de bain propre</t>
  </si>
  <si>
    <t>Linge de la salle de bain en bon état</t>
  </si>
  <si>
    <t>Chapitre : salle de bain et toilettes (partie 3/3)</t>
  </si>
  <si>
    <t>Rubrique : produits d'accueil</t>
  </si>
  <si>
    <t>Deux savonnettes minimum</t>
  </si>
  <si>
    <t>Un gel-douche par couchage</t>
  </si>
  <si>
    <t>Shampooing</t>
  </si>
  <si>
    <t>Crème corps</t>
  </si>
  <si>
    <t>Lime à ongles</t>
  </si>
  <si>
    <t>Coton</t>
  </si>
  <si>
    <t>Bonnet de douche</t>
  </si>
  <si>
    <t>Mouchoirs jetables</t>
  </si>
  <si>
    <t>Eponge pour chaussures</t>
  </si>
  <si>
    <t>Chausse-pied</t>
  </si>
  <si>
    <t>Set dentaire</t>
  </si>
  <si>
    <t>Kit de rasage</t>
  </si>
  <si>
    <t>Kit de couture</t>
  </si>
  <si>
    <t>Verres à dents protégés</t>
  </si>
  <si>
    <t>Produits d'accueil écologiques</t>
  </si>
  <si>
    <t>Rubrique : toilettes</t>
  </si>
  <si>
    <t>WC séparée, dans un espace cloisonné</t>
  </si>
  <si>
    <t>Chasses d'eau économiques (max. 6l)</t>
  </si>
  <si>
    <t>Papier hygiénique supplémentaire, dans un support</t>
  </si>
  <si>
    <t xml:space="preserve">Distributeur de sacs hygiéniques </t>
  </si>
  <si>
    <t>Douchette</t>
  </si>
  <si>
    <t>Toilettes propres</t>
  </si>
  <si>
    <t>Toilettes en bon état</t>
  </si>
  <si>
    <t>Chapitre : personnel</t>
  </si>
  <si>
    <t>Rubrique : vestiaire du personnel</t>
  </si>
  <si>
    <t>Existence d'un vestiaire de personnel séparé entre hommes et femmes</t>
  </si>
  <si>
    <t>Vestiaire de personnel comportant des casiers individuels, pouvant être fermés à clé</t>
  </si>
  <si>
    <t>Nombre de casiers équivalent à 50% du nombre total du personnel</t>
  </si>
  <si>
    <t>Nombre de casiers équivalent à 100% du nombre total du personnel</t>
  </si>
  <si>
    <t>Casiers propres</t>
  </si>
  <si>
    <t>Casiers en bon état</t>
  </si>
  <si>
    <t>Nombre de lavabos équivalent à 1 pour 10 employés (maximum de 10 lavabos)</t>
  </si>
  <si>
    <t>Débit des robinets ne dépassant pas 8 litres par minute</t>
  </si>
  <si>
    <t>Lavabo(s) doté(s) de miroirs</t>
  </si>
  <si>
    <t>Existence de toilettes</t>
  </si>
  <si>
    <t>Nombre de toilettes équivalent à 1 pour 10 employés (maximum 10 cabines)</t>
  </si>
  <si>
    <t>Existence de douches</t>
  </si>
  <si>
    <t>Nombre de douches équivalent à 1 pour 10 employés (maximum de 10 douches)</t>
  </si>
  <si>
    <t>Rubrique : réfectoire du personnel</t>
  </si>
  <si>
    <t>Existence d'un réfectoire du personnel</t>
  </si>
  <si>
    <t>Réfectoire de personnel doté de tables à manger et de chaises</t>
  </si>
  <si>
    <t>Nombre de chaises équivalent à 33% du nombre total d'employés</t>
  </si>
  <si>
    <t>Lavabo à proximité du réfectoire</t>
  </si>
  <si>
    <t>Sol, murs et plafonds du réfectoire propres</t>
  </si>
  <si>
    <t>Sol, murs et plafonds du réfectoire en bon état</t>
  </si>
  <si>
    <t>Equipements du réfectoire propres</t>
  </si>
  <si>
    <t>Equipements du réfectoire en bon état</t>
  </si>
  <si>
    <t>Rubrique : formation et sensibilisation</t>
  </si>
  <si>
    <t>Formation initiale ou continue du personnel dans le domaine de l'hôtellerie et de la restauration</t>
  </si>
  <si>
    <t>Sensibilisation du personnel sur la protection de l'environnement et l'importance de rationalisation des ressources</t>
  </si>
  <si>
    <t>Chapitre : eau, énergie et assainissement</t>
  </si>
  <si>
    <t>Rubrique : énergie</t>
  </si>
  <si>
    <t>Existence d'un groupe électrogène, se déclenchant automatiquement en cas de coupure du courant</t>
  </si>
  <si>
    <t>Groupe électrogène de capacité suffisante pour couvrir l'ensemble des besoins de l'établissement</t>
  </si>
  <si>
    <t>Une partie de l'énergie utilisée par l'établissement est renouvelable ou propre</t>
  </si>
  <si>
    <t>Rubrique : eau</t>
  </si>
  <si>
    <t>Dans le cas où l'établissement n'est pas connecté au réseau de distribution de l'eau potable, existence d'un réservoir d'eau ou un forage couvrant l'ensemble des besoins de l'établissement</t>
  </si>
  <si>
    <t>Eau du forage/réservoir régulièrement traitée</t>
  </si>
  <si>
    <t>Récupération des eaux de la pluie</t>
  </si>
  <si>
    <t>Utilisation de produits de lavage écologiques</t>
  </si>
  <si>
    <t>Rubrique : assainissement</t>
  </si>
  <si>
    <t>Dans le cas où l'établissement n'est pas connecté au réseau de d'assainissement public, existence d'une solution alternative</t>
  </si>
  <si>
    <t>Réutilisation de la totalité ou d'une partie des eaux usées</t>
  </si>
  <si>
    <t>Bloc de critères</t>
  </si>
  <si>
    <t>Bloc_de_critères</t>
  </si>
  <si>
    <t>Rubrique</t>
  </si>
  <si>
    <t>Critère</t>
  </si>
  <si>
    <t>Numéro du critère</t>
  </si>
  <si>
    <t>Type de notation</t>
  </si>
  <si>
    <t>5*</t>
  </si>
  <si>
    <t>4*</t>
  </si>
  <si>
    <t>3*</t>
  </si>
  <si>
    <t>2*</t>
  </si>
  <si>
    <t>1*</t>
  </si>
  <si>
    <t>Pondération du critère</t>
  </si>
  <si>
    <t>Réponse</t>
  </si>
  <si>
    <t>Calcul de l'évaluation</t>
  </si>
  <si>
    <t>Evaluation</t>
  </si>
  <si>
    <t>Note obtenue</t>
  </si>
  <si>
    <t>Note maximal possible</t>
  </si>
  <si>
    <t>Note max du critère</t>
  </si>
  <si>
    <t>NB de points obtenus par rubrique</t>
  </si>
  <si>
    <t>Max points de la rubrique (calcul auto)</t>
  </si>
  <si>
    <t>Tx de conformité de la rubrique</t>
  </si>
  <si>
    <t>Pondération de la rubrique (au sein du bloc)</t>
  </si>
  <si>
    <t>Tx de conformité au bloc</t>
  </si>
  <si>
    <t>Podération du bloc</t>
  </si>
  <si>
    <t>Taux de conformité global</t>
  </si>
  <si>
    <t>Prérequis</t>
  </si>
  <si>
    <t>L'hôtel dispose d'un minimum de 10 chambres</t>
  </si>
  <si>
    <t>Non appliqué</t>
  </si>
  <si>
    <t>L'hôtel dispose de l'ensemble des autorisations nécessaires pour l'exercice de son activité</t>
  </si>
  <si>
    <t>100% des chambres disposent d'une salle de bain et de toilettes privées. Dans le cas contraire, l'hôtel ne peut prétendre à une catégorie supérieure à 1 étoile</t>
  </si>
  <si>
    <t>Information et réservation</t>
  </si>
  <si>
    <t>Information_et_réservation</t>
  </si>
  <si>
    <t>Information</t>
  </si>
  <si>
    <t>Binaire</t>
  </si>
  <si>
    <t>Majeur</t>
  </si>
  <si>
    <t>Mineur</t>
  </si>
  <si>
    <t>Réservation</t>
  </si>
  <si>
    <t>Extérieur</t>
  </si>
  <si>
    <t>Parking et dépose</t>
  </si>
  <si>
    <t>Pas de Pkg</t>
  </si>
  <si>
    <t>Echelle</t>
  </si>
  <si>
    <t>Jardins</t>
  </si>
  <si>
    <t>Façades</t>
  </si>
  <si>
    <t>Accueil et réception</t>
  </si>
  <si>
    <t>Accueil_et_réception_1</t>
  </si>
  <si>
    <t>Entrée</t>
  </si>
  <si>
    <t>Hall d'accueil et salons</t>
  </si>
  <si>
    <t>Accueil_et_réception_2</t>
  </si>
  <si>
    <t>Réception</t>
  </si>
  <si>
    <t>24H/24</t>
  </si>
  <si>
    <t>Accueil_et_réception_3</t>
  </si>
  <si>
    <t>Conciergerie</t>
  </si>
  <si>
    <t>Bagagerie</t>
  </si>
  <si>
    <t>Sanitaires publiques</t>
  </si>
  <si>
    <t>Sanitaires_publiques</t>
  </si>
  <si>
    <t>Aspect général</t>
  </si>
  <si>
    <t>sol, murs, plafonds, portes et équipements des sanitaires en bon état</t>
  </si>
  <si>
    <t>Cabines de toilette</t>
  </si>
  <si>
    <t>Utilisation de chasse d'eau économiques (max. 6 lites)</t>
  </si>
  <si>
    <t>Lavabo</t>
  </si>
  <si>
    <t>Circulation</t>
  </si>
  <si>
    <t>Couloirs et allées</t>
  </si>
  <si>
    <t>Ascenseurs</t>
  </si>
  <si>
    <t>Ascenseur(s)  propre(s)</t>
  </si>
  <si>
    <t>Petit déjeuner</t>
  </si>
  <si>
    <t>Petit_déjeuner</t>
  </si>
  <si>
    <t>Généralités</t>
  </si>
  <si>
    <t>sol, murs et plafonds de la salle du petit-déjeuner propres</t>
  </si>
  <si>
    <t>sol, murs et plafonds de la salle du petit-déjeuner en bon état</t>
  </si>
  <si>
    <t>Equipement et mobilier</t>
  </si>
  <si>
    <t>Restaurant principal</t>
  </si>
  <si>
    <t>Restaurant_principal</t>
  </si>
  <si>
    <t>2m² par lit et plus</t>
  </si>
  <si>
    <t>sol, murs et plafonds du restaurant propres</t>
  </si>
  <si>
    <t>sol, murs et plafonds du restaurant en bon état</t>
  </si>
  <si>
    <t>Equipements de travail  (comptoirs, consoles, tables de service, aires de buffet…) bon état</t>
  </si>
  <si>
    <t>Restaurant thématique</t>
  </si>
  <si>
    <t>Restaurant_thématique</t>
  </si>
  <si>
    <t>Bar</t>
  </si>
  <si>
    <t>Respect de la superficie minimale exigée (annexe)</t>
  </si>
  <si>
    <t>1m²/lit et plus</t>
  </si>
  <si>
    <t>Table et assises propres</t>
  </si>
  <si>
    <t>Table et assises en bon état</t>
  </si>
  <si>
    <t>Salle(s) de séminaires, de réunions et de cérémonies</t>
  </si>
  <si>
    <t>Salle_de_séminaires</t>
  </si>
  <si>
    <t>Salle polyvalente</t>
  </si>
  <si>
    <t>Salles de réunion</t>
  </si>
  <si>
    <t>Equipements</t>
  </si>
  <si>
    <t>Bien-être et fitness</t>
  </si>
  <si>
    <t>Bien_être_et_fitness_1</t>
  </si>
  <si>
    <t>Accueil et information</t>
  </si>
  <si>
    <t>Hammam</t>
  </si>
  <si>
    <t>Hammam(s) propre (s)</t>
  </si>
  <si>
    <t>Sauna</t>
  </si>
  <si>
    <t>Massage</t>
  </si>
  <si>
    <t>Salle(s) de massage en bon état</t>
  </si>
  <si>
    <t>Jacuzzi</t>
  </si>
  <si>
    <t xml:space="preserve">Jacuzzi(s) propre(s) </t>
  </si>
  <si>
    <t>Jacuzzi(s) propre(s) en bon état</t>
  </si>
  <si>
    <t>Salon de beauté</t>
  </si>
  <si>
    <t>Bien_être_et_fitness_2</t>
  </si>
  <si>
    <t>Salle de fitness</t>
  </si>
  <si>
    <t>Vestiaires et douche</t>
  </si>
  <si>
    <t>Piscine_extérieure_1</t>
  </si>
  <si>
    <t>Sécurité de la piscine</t>
  </si>
  <si>
    <t>Profondeur de la piscine maquée et bien visible</t>
  </si>
  <si>
    <t>Equipements et mobilier</t>
  </si>
  <si>
    <t>Piscine_extérieure_2</t>
  </si>
  <si>
    <t>Snack-bar</t>
  </si>
  <si>
    <t>Vestiaires et sanitaires</t>
  </si>
  <si>
    <t>sol, murs, plafonds, portes et équipements des vestiaires propres</t>
  </si>
  <si>
    <t>sol, murs, plafonds, portes et équipements des vestiaires en bon état</t>
  </si>
  <si>
    <t>sol, murs, plafonds, portes et équipements des sanitaires propres</t>
  </si>
  <si>
    <t>Piscine pour enfants</t>
  </si>
  <si>
    <t>Piscine_pour_enfants</t>
  </si>
  <si>
    <t>Autres animations</t>
  </si>
  <si>
    <t>Autres_animations</t>
  </si>
  <si>
    <t>Night-club ou discothèque</t>
  </si>
  <si>
    <t>Animation 2 (à préciser lors de l'audit)</t>
  </si>
  <si>
    <t>Animation 3 (à préciser lors de l'audit)</t>
  </si>
  <si>
    <t>Animation 4 (à préciser lors de l'audit)</t>
  </si>
  <si>
    <t>Autres animations (à préciser lors de l'audit)</t>
  </si>
  <si>
    <t>Boutique</t>
  </si>
  <si>
    <t>Espaces d'habitation</t>
  </si>
  <si>
    <t>Espaces_dhabitation_1</t>
  </si>
  <si>
    <t>Min. 35m²</t>
  </si>
  <si>
    <t>Porte</t>
  </si>
  <si>
    <t>Placard/penderie/dressing</t>
  </si>
  <si>
    <t>Nombre de cintres conforme aux exigences en annexe.</t>
  </si>
  <si>
    <t>Espaces_dhabitation_2</t>
  </si>
  <si>
    <t>Literie</t>
  </si>
  <si>
    <t>Rideaux</t>
  </si>
  <si>
    <t>Mobilier</t>
  </si>
  <si>
    <t>Mobilier en bon état</t>
  </si>
  <si>
    <t>Espaces_dhabitation_3</t>
  </si>
  <si>
    <t>Télévision</t>
  </si>
  <si>
    <t>Téléphone et Internet</t>
  </si>
  <si>
    <t>Equipements électriques et éclairage</t>
  </si>
  <si>
    <t>Espaces_dhabitation_4</t>
  </si>
  <si>
    <t>Autres équipements</t>
  </si>
  <si>
    <t>Services</t>
  </si>
  <si>
    <t>Salle de bain et toilettes</t>
  </si>
  <si>
    <t>SDB_1</t>
  </si>
  <si>
    <t>Douche</t>
  </si>
  <si>
    <t>SDB_2</t>
  </si>
  <si>
    <t>Baignoire</t>
  </si>
  <si>
    <t>Equipements de la salle de bain</t>
  </si>
  <si>
    <t>Linge de la salle de bain</t>
  </si>
  <si>
    <t>SDB_3</t>
  </si>
  <si>
    <t>Produits d'accueil</t>
  </si>
  <si>
    <t>Toilettes</t>
  </si>
  <si>
    <t>Personnel</t>
  </si>
  <si>
    <t>Vestiaire du personnel</t>
  </si>
  <si>
    <t>Nombre de douches équivalent à 1 pour 10 employés (maximum de 10 douches</t>
  </si>
  <si>
    <t>Réfectoire du personnel</t>
  </si>
  <si>
    <t>Nombre de chaises équivalents à 33% du nombre d'employés</t>
  </si>
  <si>
    <t>Formation et sensibilisation</t>
  </si>
  <si>
    <t>Electricité, eau et assainissement</t>
  </si>
  <si>
    <t>EEA</t>
  </si>
  <si>
    <t>Energie</t>
  </si>
  <si>
    <t>Eau</t>
  </si>
  <si>
    <t>Assainissement</t>
  </si>
  <si>
    <t>Chapitre</t>
  </si>
  <si>
    <t>Chapitre/Rubrique</t>
  </si>
  <si>
    <t>NB. Max MAJEUR</t>
  </si>
  <si>
    <t>NB. Possible MAJEUR</t>
  </si>
  <si>
    <t>Eval.</t>
  </si>
  <si>
    <t>% Rubrique MAJEUR</t>
  </si>
  <si>
    <t>NB. Max MINEUR</t>
  </si>
  <si>
    <t>NB. Possible MINEUR</t>
  </si>
  <si>
    <t>% Rubrique MINEUR</t>
  </si>
  <si>
    <t>Pondérations Rubriques</t>
  </si>
  <si>
    <t>Podérations ajustées Majeur</t>
  </si>
  <si>
    <t>Podérations ajustées Mineur</t>
  </si>
  <si>
    <t>Rubrique Majeur pondérée</t>
  </si>
  <si>
    <t>Chapitre Majeur</t>
  </si>
  <si>
    <t>Rubrique Mineur
pondérée</t>
  </si>
  <si>
    <t>Chapitre Mineur</t>
  </si>
  <si>
    <t>Pondération selon l'arrêté</t>
  </si>
  <si>
    <t>Podérations chapitres Majeur</t>
  </si>
  <si>
    <t>Podérations ajustées chapitres Majeur</t>
  </si>
  <si>
    <t>Chapitre Majeur pondéré</t>
  </si>
  <si>
    <t>Podérations  chapitres Mineur</t>
  </si>
  <si>
    <t>Podérations ajustées chapitres Mineur</t>
  </si>
  <si>
    <t>Chapitre Mineur Pondéré</t>
  </si>
  <si>
    <t>Piscine pour enfant</t>
  </si>
  <si>
    <t>Boutiqu</t>
  </si>
  <si>
    <t>Taux de conformité des critères majeurs</t>
  </si>
  <si>
    <t>Taux de conformité des critères mineurs</t>
  </si>
  <si>
    <t>grille_ht5</t>
  </si>
  <si>
    <t>grille_ht4</t>
  </si>
  <si>
    <t>grille_ht3</t>
  </si>
  <si>
    <t>grille_ht2</t>
  </si>
  <si>
    <t>grille_ht1</t>
  </si>
  <si>
    <t>Classement</t>
  </si>
  <si>
    <t>Note globale des critères majeurs</t>
  </si>
  <si>
    <t>Note générale des critères majeurs</t>
  </si>
  <si>
    <t>Note globale des critères mineurs</t>
  </si>
  <si>
    <t>Note générale des critères mineurs</t>
  </si>
  <si>
    <t>Moyenne</t>
  </si>
  <si>
    <t>5 étoiles</t>
  </si>
  <si>
    <t>Résultats de la grille de conformité de la catégorie 5 étoiles</t>
  </si>
  <si>
    <t>1 étoile</t>
  </si>
  <si>
    <t>Résultats de la grille de conformité de la catégorie 1 étoile</t>
  </si>
  <si>
    <t>4 étoiles</t>
  </si>
  <si>
    <t>Résultats de la grille de conformité de la catégorie 4 étoiles</t>
  </si>
  <si>
    <t>3 étoiles</t>
  </si>
  <si>
    <t>Résultats de la grille de conformité de la catégorie 3 étoiles</t>
  </si>
  <si>
    <t>2 étoiles</t>
  </si>
  <si>
    <t>Résultats de la grille de conformité de la catégorie 2 étoiles</t>
  </si>
  <si>
    <t>Grille de conformité : hôtels</t>
  </si>
  <si>
    <t>Manuel d'utilisation de la grille de classement</t>
  </si>
  <si>
    <t>Liste des chapitres de la grille</t>
  </si>
  <si>
    <t xml:space="preserve">Grille de conformité : hôtels </t>
  </si>
  <si>
    <t xml:space="preserve">Cette grille permet d’évaluer les hôtels à travers 19 chapitres couvrant différents aspects du logement, allant des aspects extérieurs du logement jusqu'aux installations essentielles telles que l’électricité, l’eau et l’énergie.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</si>
</sst>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1" x14ac:knownFonts="1">
    <font>
      <sz val="11"/>
      <color theme="1"/>
      <name val="Calibri"/>
      <family val="2"/>
      <scheme val="minor"/>
    </font>
    <font>
      <sz val="7"/>
      <color theme="1"/>
      <name val="Segoe UI Light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ontserrat"/>
    </font>
    <font>
      <b/>
      <sz val="12"/>
      <color theme="1"/>
      <name val="Montserrat"/>
    </font>
    <font>
      <sz val="10"/>
      <color theme="1"/>
      <name val="Montserrat"/>
    </font>
    <font>
      <sz val="11"/>
      <color rgb="FF009543"/>
      <name val="Calibri"/>
      <family val="2"/>
      <scheme val="minor"/>
    </font>
    <font>
      <b/>
      <sz val="11"/>
      <color theme="1"/>
      <name val="Montserrat"/>
    </font>
    <font>
      <b/>
      <sz val="11"/>
      <color rgb="FFDC241F"/>
      <name val="Montserrat"/>
    </font>
    <font>
      <b/>
      <sz val="14"/>
      <color theme="1"/>
      <name val="Montserrat"/>
    </font>
    <font>
      <b/>
      <sz val="16"/>
      <color theme="1"/>
      <name val="Montserrat"/>
    </font>
    <font>
      <sz val="9"/>
      <name val="Arial"/>
      <family val="2"/>
    </font>
    <font>
      <sz val="7"/>
      <name val="Segoe UI Light"/>
      <family val="2"/>
    </font>
    <font>
      <sz val="9"/>
      <color theme="1"/>
      <name val="Montserrat"/>
    </font>
    <font>
      <b/>
      <sz val="9"/>
      <color theme="1"/>
      <name val="Arial"/>
      <family val="2"/>
    </font>
    <font>
      <b/>
      <sz val="7"/>
      <color theme="1"/>
      <name val="Segoe UI Light"/>
      <family val="2"/>
    </font>
    <font>
      <b/>
      <sz val="9"/>
      <color rgb="FF0070C0"/>
      <name val="Verdana"/>
      <family val="2"/>
    </font>
    <font>
      <b/>
      <sz val="7"/>
      <color rgb="FF0070C0"/>
      <name val="Segoe UI Light"/>
      <family val="2"/>
    </font>
    <font>
      <sz val="7"/>
      <color rgb="FF0070C0"/>
      <name val="Segoe UI Light"/>
      <family val="2"/>
    </font>
    <font>
      <b/>
      <sz val="10"/>
      <color rgb="FF009543"/>
      <name val="Montserrat"/>
    </font>
    <font>
      <sz val="10"/>
      <color rgb="FF009543"/>
      <name val="Montserrat"/>
    </font>
    <font>
      <b/>
      <sz val="12"/>
      <color rgb="FFFBDE4A"/>
      <name val="Montserrat"/>
    </font>
    <font>
      <sz val="12"/>
      <color theme="1"/>
      <name val="Montserrat"/>
    </font>
    <font>
      <b/>
      <sz val="12"/>
      <color theme="0"/>
      <name val="Montserrat"/>
    </font>
    <font>
      <b/>
      <sz val="11"/>
      <color theme="0"/>
      <name val="Montserrat"/>
    </font>
    <font>
      <b/>
      <sz val="22"/>
      <color theme="1"/>
      <name val="Montserrat"/>
    </font>
    <font>
      <sz val="10"/>
      <color rgb="FF005F00"/>
      <name val="Montserrat"/>
    </font>
    <font>
      <sz val="10"/>
      <color theme="0"/>
      <name val="Verdana"/>
      <family val="2"/>
    </font>
    <font>
      <sz val="10"/>
      <name val="Montserrat"/>
    </font>
    <font>
      <b/>
      <sz val="20"/>
      <color theme="1"/>
      <name val="Montserrat"/>
    </font>
    <font>
      <b/>
      <sz val="18"/>
      <color theme="1"/>
      <name val="Montserrat"/>
    </font>
    <font>
      <b/>
      <sz val="10"/>
      <color theme="1"/>
      <name val="Montserrat"/>
    </font>
    <font>
      <b/>
      <sz val="16"/>
      <color rgb="FFFBDE4A"/>
      <name val="Montserrat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543"/>
        <bgColor indexed="64"/>
      </patternFill>
    </fill>
    <fill>
      <patternFill patternType="solid">
        <fgColor rgb="FFDC241F"/>
        <bgColor indexed="64"/>
      </patternFill>
    </fill>
    <fill>
      <patternFill patternType="solid">
        <fgColor rgb="FFFBDE4A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2" tint="-9.9917600024414813E-2"/>
      </left>
      <right/>
      <top style="thin">
        <color theme="2" tint="-9.9917600024414813E-2"/>
      </top>
      <bottom style="thin">
        <color theme="2" tint="-9.9917600024414813E-2"/>
      </bottom>
      <diagonal/>
    </border>
    <border>
      <left/>
      <right/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887081514938816E-2"/>
      </left>
      <right/>
      <top style="thin">
        <color theme="2" tint="-9.9887081514938816E-2"/>
      </top>
      <bottom style="thin">
        <color theme="2" tint="-9.9887081514938816E-2"/>
      </bottom>
      <diagonal/>
    </border>
    <border>
      <left/>
      <right/>
      <top style="thin">
        <color theme="2" tint="-9.9887081514938816E-2"/>
      </top>
      <bottom style="thin">
        <color theme="2" tint="-9.9887081514938816E-2"/>
      </bottom>
      <diagonal/>
    </border>
    <border>
      <left/>
      <right style="thin">
        <color theme="2" tint="-9.9887081514938816E-2"/>
      </right>
      <top style="thin">
        <color theme="2" tint="-9.9887081514938816E-2"/>
      </top>
      <bottom style="thin">
        <color theme="2" tint="-9.9887081514938816E-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rgb="FF009543"/>
      </bottom>
      <diagonal/>
    </border>
    <border>
      <left/>
      <right/>
      <top style="thin">
        <color rgb="FF009543"/>
      </top>
      <bottom style="thin">
        <color rgb="FF009543"/>
      </bottom>
      <diagonal/>
    </border>
    <border>
      <left/>
      <right/>
      <top style="thin">
        <color rgb="FF009543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9" fontId="7" fillId="2" borderId="3" xfId="1" applyFont="1" applyFill="1" applyBorder="1" applyAlignment="1">
      <alignment horizontal="center" vertical="center" wrapText="1"/>
    </xf>
    <xf numFmtId="10" fontId="7" fillId="2" borderId="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8" fillId="0" borderId="0" xfId="1" applyFont="1" applyFill="1" applyBorder="1" applyAlignment="1">
      <alignment horizontal="center" vertical="center"/>
    </xf>
    <xf numFmtId="9" fontId="8" fillId="0" borderId="0" xfId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10" fontId="8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0" fillId="4" borderId="0" xfId="0" applyFill="1"/>
    <xf numFmtId="0" fontId="0" fillId="3" borderId="0" xfId="0" applyFill="1"/>
    <xf numFmtId="0" fontId="12" fillId="3" borderId="0" xfId="0" applyFont="1" applyFill="1"/>
    <xf numFmtId="0" fontId="12" fillId="3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2" fillId="4" borderId="0" xfId="0" applyFont="1" applyFill="1"/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10" fillId="3" borderId="0" xfId="0" applyFont="1" applyFill="1"/>
    <xf numFmtId="0" fontId="14" fillId="5" borderId="0" xfId="0" applyFont="1" applyFill="1"/>
    <xf numFmtId="0" fontId="0" fillId="6" borderId="0" xfId="0" applyFill="1"/>
    <xf numFmtId="0" fontId="0" fillId="7" borderId="0" xfId="0" applyFill="1"/>
    <xf numFmtId="0" fontId="15" fillId="3" borderId="0" xfId="0" applyFont="1" applyFill="1"/>
    <xf numFmtId="0" fontId="0" fillId="4" borderId="0" xfId="0" applyFill="1" applyAlignment="1">
      <alignment wrapText="1"/>
    </xf>
    <xf numFmtId="0" fontId="10" fillId="4" borderId="0" xfId="0" applyFont="1" applyFill="1"/>
    <xf numFmtId="0" fontId="15" fillId="4" borderId="0" xfId="0" applyFont="1" applyFill="1" applyAlignment="1">
      <alignment vertical="center" wrapText="1"/>
    </xf>
    <xf numFmtId="0" fontId="0" fillId="3" borderId="0" xfId="0" applyFill="1" applyAlignment="1" applyProtection="1">
      <alignment horizont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Protection="1">
      <protection locked="0"/>
    </xf>
    <xf numFmtId="0" fontId="12" fillId="3" borderId="0" xfId="0" applyFont="1" applyFill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>
      <alignment vertical="center" wrapText="1"/>
    </xf>
    <xf numFmtId="0" fontId="20" fillId="0" borderId="2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 applyProtection="1">
      <alignment horizontal="center" wrapText="1"/>
      <protection locked="0"/>
    </xf>
    <xf numFmtId="9" fontId="1" fillId="0" borderId="7" xfId="1" applyFont="1" applyFill="1" applyBorder="1" applyAlignment="1">
      <alignment horizontal="center" wrapText="1"/>
    </xf>
    <xf numFmtId="164" fontId="1" fillId="0" borderId="7" xfId="1" applyNumberFormat="1" applyFont="1" applyFill="1" applyBorder="1" applyAlignment="1">
      <alignment wrapText="1"/>
    </xf>
    <xf numFmtId="164" fontId="1" fillId="0" borderId="7" xfId="1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9" fontId="1" fillId="0" borderId="1" xfId="1" applyFont="1" applyFill="1" applyBorder="1" applyAlignment="1">
      <alignment horizontal="center" wrapText="1"/>
    </xf>
    <xf numFmtId="164" fontId="1" fillId="0" borderId="1" xfId="1" applyNumberFormat="1" applyFont="1" applyFill="1" applyBorder="1" applyAlignment="1">
      <alignment wrapText="1"/>
    </xf>
    <xf numFmtId="164" fontId="1" fillId="0" borderId="1" xfId="1" applyNumberFormat="1" applyFont="1" applyFill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3" xfId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10" fontId="7" fillId="0" borderId="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2" borderId="3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9" fontId="8" fillId="0" borderId="3" xfId="1" applyFont="1" applyBorder="1" applyAlignment="1">
      <alignment horizontal="center" vertical="center"/>
    </xf>
    <xf numFmtId="9" fontId="8" fillId="0" borderId="3" xfId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vertical="center"/>
    </xf>
    <xf numFmtId="10" fontId="8" fillId="0" borderId="3" xfId="1" applyNumberFormat="1" applyFont="1" applyFill="1" applyBorder="1" applyAlignment="1">
      <alignment horizontal="center" vertical="center"/>
    </xf>
    <xf numFmtId="10" fontId="8" fillId="0" borderId="3" xfId="1" applyNumberFormat="1" applyFont="1" applyFill="1" applyBorder="1" applyAlignment="1">
      <alignment vertical="center"/>
    </xf>
    <xf numFmtId="0" fontId="8" fillId="0" borderId="3" xfId="1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9" fontId="8" fillId="0" borderId="8" xfId="1" applyFont="1" applyBorder="1" applyAlignment="1">
      <alignment horizontal="center" vertical="center"/>
    </xf>
    <xf numFmtId="10" fontId="8" fillId="0" borderId="8" xfId="1" applyNumberFormat="1" applyFont="1" applyBorder="1" applyAlignment="1">
      <alignment horizontal="center" vertical="center"/>
    </xf>
    <xf numFmtId="0" fontId="0" fillId="3" borderId="10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0" xfId="0" applyFill="1" applyBorder="1"/>
    <xf numFmtId="0" fontId="13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/>
    </xf>
    <xf numFmtId="0" fontId="0" fillId="3" borderId="10" xfId="0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0" fillId="3" borderId="13" xfId="0" applyFill="1" applyBorder="1" applyAlignment="1" applyProtection="1">
      <alignment horizont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4" xfId="0" applyFill="1" applyBorder="1"/>
    <xf numFmtId="0" fontId="0" fillId="3" borderId="14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13" xfId="0" applyFont="1" applyFill="1" applyBorder="1" applyAlignment="1">
      <alignment horizontal="center" wrapText="1"/>
    </xf>
    <xf numFmtId="0" fontId="0" fillId="3" borderId="13" xfId="0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0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0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4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14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/>
    </xf>
    <xf numFmtId="0" fontId="0" fillId="3" borderId="22" xfId="0" applyFill="1" applyBorder="1"/>
    <xf numFmtId="0" fontId="0" fillId="3" borderId="23" xfId="0" applyFill="1" applyBorder="1"/>
    <xf numFmtId="0" fontId="0" fillId="3" borderId="21" xfId="0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2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9" fontId="7" fillId="0" borderId="0" xfId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vertical="center" wrapText="1"/>
    </xf>
    <xf numFmtId="9" fontId="23" fillId="0" borderId="0" xfId="1" applyFont="1" applyFill="1" applyBorder="1" applyAlignment="1">
      <alignment horizontal="left" wrapText="1"/>
    </xf>
    <xf numFmtId="9" fontId="10" fillId="0" borderId="0" xfId="1" applyFont="1" applyFill="1" applyBorder="1"/>
    <xf numFmtId="9" fontId="7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24" fillId="0" borderId="0" xfId="1" applyFont="1" applyFill="1" applyBorder="1" applyAlignment="1">
      <alignment vertical="center" wrapText="1"/>
    </xf>
    <xf numFmtId="9" fontId="24" fillId="0" borderId="0" xfId="1" applyFont="1" applyFill="1" applyBorder="1" applyAlignment="1">
      <alignment horizontal="center" vertical="center"/>
    </xf>
    <xf numFmtId="10" fontId="24" fillId="0" borderId="0" xfId="1" applyNumberFormat="1" applyFont="1" applyFill="1" applyBorder="1" applyAlignment="1">
      <alignment vertical="center" wrapText="1"/>
    </xf>
    <xf numFmtId="9" fontId="25" fillId="0" borderId="0" xfId="1" applyFont="1" applyFill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9" fontId="27" fillId="0" borderId="0" xfId="1" applyFont="1" applyFill="1" applyBorder="1" applyAlignment="1">
      <alignment horizontal="center" vertical="center" wrapText="1"/>
    </xf>
    <xf numFmtId="9" fontId="27" fillId="0" borderId="0" xfId="1" applyFont="1" applyAlignment="1">
      <alignment horizontal="center" vertical="center" wrapText="1"/>
    </xf>
    <xf numFmtId="9" fontId="27" fillId="0" borderId="0" xfId="1" applyFont="1" applyFill="1" applyBorder="1" applyAlignment="1">
      <alignment vertical="center" wrapText="1"/>
    </xf>
    <xf numFmtId="9" fontId="28" fillId="0" borderId="0" xfId="1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30" fillId="3" borderId="11" xfId="0" applyFont="1" applyFill="1" applyBorder="1" applyAlignment="1">
      <alignment vertical="center"/>
    </xf>
    <xf numFmtId="0" fontId="30" fillId="3" borderId="10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 wrapText="1"/>
    </xf>
    <xf numFmtId="0" fontId="28" fillId="3" borderId="0" xfId="0" applyFont="1" applyFill="1" applyAlignment="1">
      <alignment horizontal="right" vertical="center"/>
    </xf>
    <xf numFmtId="0" fontId="11" fillId="3" borderId="0" xfId="0" applyFont="1" applyFill="1" applyProtection="1">
      <protection locked="0"/>
    </xf>
    <xf numFmtId="0" fontId="33" fillId="3" borderId="0" xfId="0" applyFont="1" applyFill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13" fillId="3" borderId="11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3" borderId="15" xfId="0" applyFont="1" applyFill="1" applyBorder="1" applyAlignment="1">
      <alignment vertical="center"/>
    </xf>
    <xf numFmtId="0" fontId="30" fillId="3" borderId="0" xfId="0" applyFont="1" applyFill="1" applyAlignment="1">
      <alignment horizontal="right" vertical="center"/>
    </xf>
    <xf numFmtId="0" fontId="13" fillId="3" borderId="1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9" fontId="19" fillId="0" borderId="4" xfId="1" applyFont="1" applyFill="1" applyBorder="1" applyAlignment="1">
      <alignment horizontal="center" vertical="center" wrapText="1"/>
    </xf>
    <xf numFmtId="164" fontId="19" fillId="0" borderId="4" xfId="1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vertical="center" wrapText="1"/>
    </xf>
    <xf numFmtId="0" fontId="13" fillId="3" borderId="10" xfId="0" applyFont="1" applyFill="1" applyBorder="1" applyAlignment="1" applyProtection="1">
      <alignment vertical="center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34" fillId="3" borderId="9" xfId="0" applyFont="1" applyFill="1" applyBorder="1" applyAlignment="1" applyProtection="1">
      <alignment horizontal="right" vertical="top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3" borderId="10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3" borderId="11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3" borderId="17" xfId="0" applyFont="1" applyFill="1" applyBorder="1" applyAlignment="1" applyProtection="1">
      <alignment horizontal="right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3" borderId="13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11" xfId="0" applyFont="1" applyFill="1" applyBorder="1" applyAlignment="1" applyProtection="1">
      <alignment vertical="center"/>
      <protection locked="0"/>
    </xf>
    <xf numFmtId="0" fontId="38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left" vertical="center" indent="1"/>
    </xf>
    <xf numFmtId="0" fontId="13" fillId="3" borderId="10" xfId="0" applyFont="1" applyFill="1" applyBorder="1" applyAlignment="1">
      <alignment horizontal="right" vertical="center"/>
    </xf>
    <xf numFmtId="0" fontId="13" fillId="3" borderId="10" xfId="0" applyFont="1" applyFill="1" applyBorder="1" applyAlignment="1" applyProtection="1">
      <alignment vertical="center"/>
      <protection locked="0"/>
    </xf>
    <xf numFmtId="0" fontId="13" fillId="3" borderId="11" xfId="0" applyFont="1" applyFill="1" applyBorder="1" applyAlignment="1">
      <alignment horizontal="right" vertical="center"/>
    </xf>
    <xf numFmtId="0" fontId="13" fillId="3" borderId="11" xfId="0" applyFont="1" applyFill="1" applyBorder="1" applyAlignment="1" applyProtection="1">
      <alignment vertical="center"/>
      <protection locked="0"/>
    </xf>
    <xf numFmtId="0" fontId="31" fillId="5" borderId="9" xfId="0" applyFont="1" applyFill="1" applyBorder="1" applyAlignment="1">
      <alignment horizontal="left" vertical="center" indent="1"/>
    </xf>
    <xf numFmtId="0" fontId="13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13" fillId="3" borderId="9" xfId="0" applyFont="1" applyFill="1" applyBorder="1" applyAlignment="1">
      <alignment vertical="top"/>
    </xf>
    <xf numFmtId="0" fontId="13" fillId="3" borderId="9" xfId="0" applyFont="1" applyFill="1" applyBorder="1" applyAlignment="1">
      <alignment vertical="center"/>
    </xf>
    <xf numFmtId="0" fontId="13" fillId="3" borderId="14" xfId="0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right" vertical="center"/>
    </xf>
    <xf numFmtId="0" fontId="13" fillId="3" borderId="12" xfId="0" applyFont="1" applyFill="1" applyBorder="1" applyAlignment="1" applyProtection="1">
      <alignment vertical="center"/>
      <protection locked="0"/>
    </xf>
    <xf numFmtId="0" fontId="13" fillId="3" borderId="13" xfId="0" applyFont="1" applyFill="1" applyBorder="1" applyAlignment="1" applyProtection="1">
      <alignment vertical="center"/>
      <protection locked="0"/>
    </xf>
    <xf numFmtId="0" fontId="13" fillId="3" borderId="13" xfId="0" applyFont="1" applyFill="1" applyBorder="1" applyAlignment="1">
      <alignment horizontal="right" vertical="center"/>
    </xf>
    <xf numFmtId="0" fontId="13" fillId="3" borderId="14" xfId="0" applyFont="1" applyFill="1" applyBorder="1" applyAlignment="1" applyProtection="1">
      <alignment vertical="center"/>
      <protection locked="0"/>
    </xf>
    <xf numFmtId="0" fontId="13" fillId="3" borderId="16" xfId="0" applyFont="1" applyFill="1" applyBorder="1" applyAlignment="1">
      <alignment horizontal="right" vertical="center"/>
    </xf>
    <xf numFmtId="0" fontId="13" fillId="3" borderId="25" xfId="0" applyFont="1" applyFill="1" applyBorder="1" applyAlignment="1">
      <alignment horizontal="right" vertical="center"/>
    </xf>
    <xf numFmtId="0" fontId="13" fillId="3" borderId="25" xfId="0" applyFont="1" applyFill="1" applyBorder="1" applyAlignment="1" applyProtection="1">
      <alignment vertical="center"/>
      <protection locked="0"/>
    </xf>
    <xf numFmtId="0" fontId="13" fillId="3" borderId="15" xfId="0" applyFont="1" applyFill="1" applyBorder="1" applyAlignment="1" applyProtection="1">
      <alignment vertical="center"/>
      <protection locked="0"/>
    </xf>
    <xf numFmtId="0" fontId="13" fillId="3" borderId="15" xfId="0" applyFont="1" applyFill="1" applyBorder="1" applyAlignment="1">
      <alignment horizontal="right" vertical="center"/>
    </xf>
    <xf numFmtId="0" fontId="13" fillId="3" borderId="16" xfId="0" applyFont="1" applyFill="1" applyBorder="1" applyAlignment="1" applyProtection="1">
      <alignment vertical="center"/>
      <protection locked="0"/>
    </xf>
    <xf numFmtId="0" fontId="30" fillId="3" borderId="0" xfId="0" applyFont="1" applyFill="1" applyAlignment="1">
      <alignment horizontal="right" vertical="center"/>
    </xf>
    <xf numFmtId="0" fontId="13" fillId="3" borderId="18" xfId="0" applyFont="1" applyFill="1" applyBorder="1" applyAlignment="1">
      <alignment horizontal="right" vertical="top"/>
    </xf>
    <xf numFmtId="0" fontId="13" fillId="3" borderId="24" xfId="0" applyFont="1" applyFill="1" applyBorder="1" applyAlignment="1">
      <alignment horizontal="right" vertical="top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0" fontId="13" fillId="3" borderId="13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/>
    </xf>
    <xf numFmtId="0" fontId="13" fillId="3" borderId="13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36" fillId="3" borderId="12" xfId="0" applyFont="1" applyFill="1" applyBorder="1" applyAlignment="1">
      <alignment horizontal="left" vertical="center" wrapText="1"/>
    </xf>
    <xf numFmtId="0" fontId="37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3" fillId="3" borderId="15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9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5" xfId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9" fontId="19" fillId="0" borderId="4" xfId="1" applyFont="1" applyFill="1" applyBorder="1" applyAlignment="1">
      <alignment horizontal="center" vertical="center" wrapText="1"/>
    </xf>
    <xf numFmtId="164" fontId="19" fillId="0" borderId="4" xfId="1" applyNumberFormat="1" applyFont="1" applyFill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9" fontId="13" fillId="3" borderId="26" xfId="0" applyNumberFormat="1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left" vertical="center" wrapText="1"/>
    </xf>
    <xf numFmtId="9" fontId="13" fillId="3" borderId="26" xfId="0" applyNumberFormat="1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9" fontId="39" fillId="3" borderId="26" xfId="0" applyNumberFormat="1" applyFont="1" applyFill="1" applyBorder="1" applyAlignment="1">
      <alignment horizontal="left" vertical="center" wrapText="1"/>
    </xf>
    <xf numFmtId="0" fontId="39" fillId="3" borderId="26" xfId="0" applyFont="1" applyFill="1" applyBorder="1" applyAlignment="1">
      <alignment horizontal="left" vertical="center" wrapText="1"/>
    </xf>
    <xf numFmtId="0" fontId="40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9" fontId="29" fillId="5" borderId="0" xfId="0" applyNumberFormat="1" applyFont="1" applyFill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9" fontId="13" fillId="3" borderId="27" xfId="0" applyNumberFormat="1" applyFont="1" applyFill="1" applyBorder="1" applyAlignment="1">
      <alignment horizontal="left" vertical="center" wrapText="1"/>
    </xf>
    <xf numFmtId="9" fontId="13" fillId="3" borderId="27" xfId="0" applyNumberFormat="1" applyFont="1" applyFill="1" applyBorder="1" applyAlignment="1">
      <alignment horizontal="center" vertical="center" wrapText="1"/>
    </xf>
    <xf numFmtId="9" fontId="13" fillId="3" borderId="28" xfId="0" applyNumberFormat="1" applyFont="1" applyFill="1" applyBorder="1" applyAlignment="1">
      <alignment horizontal="left" vertical="center" wrapText="1"/>
    </xf>
    <xf numFmtId="9" fontId="13" fillId="3" borderId="0" xfId="0" applyNumberFormat="1" applyFont="1" applyFill="1" applyAlignment="1">
      <alignment horizontal="left" vertical="center" wrapText="1"/>
    </xf>
  </cellXfs>
  <cellStyles count="2">
    <cellStyle name="Normal" xfId="0" builtinId="0"/>
    <cellStyle name="Pourcentage" xfId="1" builtinId="5"/>
  </cellStyles>
  <dxfs count="530"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  <fill>
        <patternFill patternType="none">
          <bgColor auto="1"/>
        </patternFill>
      </fill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color rgb="FFDC241F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70C0"/>
        <name val="Verdana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9543"/>
        <name val="Montserra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9543"/>
        <name val="Montserra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</dxf>
    <dxf>
      <font>
        <strike val="0"/>
        <outline val="0"/>
        <shadow val="0"/>
        <u val="none"/>
        <vertAlign val="baseline"/>
        <sz val="10"/>
        <color rgb="FF009543"/>
        <name val="Montserrat"/>
        <scheme val="none"/>
      </font>
    </dxf>
  </dxfs>
  <tableStyles count="0" defaultTableStyle="TableStyleMedium2" defaultPivotStyle="PivotStyleLight16"/>
  <colors>
    <mruColors>
      <color rgb="FF009543"/>
      <color rgb="FFFBDE4A"/>
      <color rgb="FFDC241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onnections" Target="connections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9543"/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r>
              <a:rPr lang="fr-MA"/>
              <a:t>Conformité des critères mineurs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9543"/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Chapitres_Majeurs!$B$1</c:f>
              <c:strCache>
                <c:ptCount val="1"/>
                <c:pt idx="0">
                  <c:v>Taux de conformité des critères majeurs</c:v>
                </c:pt>
              </c:strCache>
            </c:strRef>
          </c:tx>
          <c:spPr>
            <a:solidFill>
              <a:srgbClr val="009543"/>
            </a:solidFill>
            <a:ln>
              <a:noFill/>
            </a:ln>
            <a:effectLst/>
          </c:spPr>
          <c:invertIfNegative val="0"/>
          <c:cat>
            <c:strRef>
              <c:f>Chapitres_Majeurs!$A$2:$A$20</c:f>
              <c:strCache>
                <c:ptCount val="14"/>
                <c:pt idx="0">
                  <c:v>Information et réservation</c:v>
                </c:pt>
                <c:pt idx="1">
                  <c:v>Extérieur</c:v>
                </c:pt>
                <c:pt idx="2">
                  <c:v>Accueil et réception</c:v>
                </c:pt>
                <c:pt idx="3">
                  <c:v>Sanitaires publiques</c:v>
                </c:pt>
                <c:pt idx="4">
                  <c:v>Circulation</c:v>
                </c:pt>
                <c:pt idx="5">
                  <c:v>Petit déjeuner</c:v>
                </c:pt>
                <c:pt idx="6">
                  <c:v>Restaurant principal</c:v>
                </c:pt>
                <c:pt idx="7">
                  <c:v>Restaurant thématique</c:v>
                </c:pt>
                <c:pt idx="8">
                  <c:v>Bar</c:v>
                </c:pt>
                <c:pt idx="9">
                  <c:v>Bien-être et fitness</c:v>
                </c:pt>
                <c:pt idx="10">
                  <c:v>Espaces d'habitation</c:v>
                </c:pt>
                <c:pt idx="11">
                  <c:v>Salle de bain et toilettes</c:v>
                </c:pt>
                <c:pt idx="12">
                  <c:v>Personnel</c:v>
                </c:pt>
                <c:pt idx="13">
                  <c:v>Electricité, eau et assainissement</c:v>
                </c:pt>
              </c:strCache>
            </c:strRef>
          </c:cat>
          <c:val>
            <c:numRef>
              <c:f>Chapitres_Majeurs!$B$2:$B$20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F-46B4-9927-13AE39927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8"/>
        <c:axId val="2107607088"/>
        <c:axId val="2107591728"/>
      </c:barChart>
      <c:catAx>
        <c:axId val="2107607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9543"/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2107591728"/>
        <c:crosses val="autoZero"/>
        <c:auto val="1"/>
        <c:lblAlgn val="ctr"/>
        <c:lblOffset val="100"/>
        <c:noMultiLvlLbl val="0"/>
      </c:catAx>
      <c:valAx>
        <c:axId val="2107591728"/>
        <c:scaling>
          <c:orientation val="minMax"/>
          <c:max val="1"/>
        </c:scaling>
        <c:delete val="1"/>
        <c:axPos val="t"/>
        <c:numFmt formatCode="0%" sourceLinked="1"/>
        <c:majorTickMark val="none"/>
        <c:minorTickMark val="none"/>
        <c:tickLblPos val="nextTo"/>
        <c:crossAx val="210760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rgbClr val="009543"/>
          </a:solidFill>
          <a:latin typeface="Montserrat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r>
              <a:rPr lang="fr-MA"/>
              <a:t>Conformité des</a:t>
            </a:r>
            <a:r>
              <a:rPr lang="fr-MA" baseline="0"/>
              <a:t> critères mineurs</a:t>
            </a:r>
            <a:endParaRPr lang="fr-M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fr-M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Chapitres_Mineurs!$C$1</c:f>
              <c:strCache>
                <c:ptCount val="1"/>
                <c:pt idx="0">
                  <c:v>Taux de conformité des critères mineurs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Chapitres_Mineurs!$A$2:$A$20</c:f>
              <c:strCache>
                <c:ptCount val="18"/>
                <c:pt idx="0">
                  <c:v>Extérieur</c:v>
                </c:pt>
                <c:pt idx="1">
                  <c:v>Accueil et réception</c:v>
                </c:pt>
                <c:pt idx="2">
                  <c:v>Sanitaires publiques</c:v>
                </c:pt>
                <c:pt idx="3">
                  <c:v>Circulation</c:v>
                </c:pt>
                <c:pt idx="4">
                  <c:v>Petit déjeuner</c:v>
                </c:pt>
                <c:pt idx="5">
                  <c:v>Restaurant principal</c:v>
                </c:pt>
                <c:pt idx="6">
                  <c:v>Restaurant thématique</c:v>
                </c:pt>
                <c:pt idx="7">
                  <c:v>Bar</c:v>
                </c:pt>
                <c:pt idx="8">
                  <c:v>Salle(s) de séminaires, de réunions et de cérémonies</c:v>
                </c:pt>
                <c:pt idx="9">
                  <c:v>Bien-être et fitness</c:v>
                </c:pt>
                <c:pt idx="10">
                  <c:v>Piscine extérieure</c:v>
                </c:pt>
                <c:pt idx="11">
                  <c:v>Piscine pour enfants</c:v>
                </c:pt>
                <c:pt idx="12">
                  <c:v>Autres animations</c:v>
                </c:pt>
                <c:pt idx="13">
                  <c:v>Boutique</c:v>
                </c:pt>
                <c:pt idx="14">
                  <c:v>Espaces d'habitation</c:v>
                </c:pt>
                <c:pt idx="15">
                  <c:v>Salle de bain et toilettes</c:v>
                </c:pt>
                <c:pt idx="16">
                  <c:v>Personnel</c:v>
                </c:pt>
                <c:pt idx="17">
                  <c:v>Electricité, eau et assainissement</c:v>
                </c:pt>
              </c:strCache>
            </c:strRef>
          </c:cat>
          <c:val>
            <c:numRef>
              <c:f>Chapitres_Mineurs!$C$2:$C$20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E-45E4-80D2-E25DDA9A4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8"/>
        <c:axId val="2107607088"/>
        <c:axId val="2107591728"/>
      </c:barChart>
      <c:catAx>
        <c:axId val="2107607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2107591728"/>
        <c:crosses val="autoZero"/>
        <c:auto val="1"/>
        <c:lblAlgn val="ctr"/>
        <c:lblOffset val="100"/>
        <c:noMultiLvlLbl val="0"/>
      </c:catAx>
      <c:valAx>
        <c:axId val="2107591728"/>
        <c:scaling>
          <c:orientation val="minMax"/>
          <c:max val="1"/>
        </c:scaling>
        <c:delete val="1"/>
        <c:axPos val="t"/>
        <c:numFmt formatCode="0%" sourceLinked="1"/>
        <c:majorTickMark val="none"/>
        <c:minorTickMark val="none"/>
        <c:tickLblPos val="nextTo"/>
        <c:crossAx val="210760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13" Type="http://schemas.openxmlformats.org/officeDocument/2006/relationships/image" Target="../media/image10.png"/><Relationship Id="rId18" Type="http://schemas.openxmlformats.org/officeDocument/2006/relationships/image" Target="../media/image14.png"/><Relationship Id="rId3" Type="http://schemas.openxmlformats.org/officeDocument/2006/relationships/image" Target="../media/image3.svg"/><Relationship Id="rId7" Type="http://schemas.openxmlformats.org/officeDocument/2006/relationships/image" Target="../media/image6.png"/><Relationship Id="rId12" Type="http://schemas.openxmlformats.org/officeDocument/2006/relationships/hyperlink" Target="#'Liste des chapitres'!A1"/><Relationship Id="rId17" Type="http://schemas.openxmlformats.org/officeDocument/2006/relationships/image" Target="../media/image13.svg"/><Relationship Id="rId2" Type="http://schemas.openxmlformats.org/officeDocument/2006/relationships/image" Target="../media/image2.png"/><Relationship Id="rId16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hyperlink" Target="#Identification!A1"/><Relationship Id="rId11" Type="http://schemas.openxmlformats.org/officeDocument/2006/relationships/image" Target="../media/image9.svg"/><Relationship Id="rId5" Type="http://schemas.openxmlformats.org/officeDocument/2006/relationships/image" Target="../media/image5.svg"/><Relationship Id="rId15" Type="http://schemas.openxmlformats.org/officeDocument/2006/relationships/hyperlink" Target="#R&#233;sultats!A1"/><Relationship Id="rId10" Type="http://schemas.openxmlformats.org/officeDocument/2006/relationships/image" Target="../media/image8.png"/><Relationship Id="rId19" Type="http://schemas.openxmlformats.org/officeDocument/2006/relationships/image" Target="../media/image15.svg"/><Relationship Id="rId4" Type="http://schemas.openxmlformats.org/officeDocument/2006/relationships/image" Target="../media/image4.png"/><Relationship Id="rId9" Type="http://schemas.openxmlformats.org/officeDocument/2006/relationships/hyperlink" Target="#'Manuel d''utilisation'!A1"/><Relationship Id="rId14" Type="http://schemas.openxmlformats.org/officeDocument/2006/relationships/image" Target="../media/image11.sv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Sanitaires_publiques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Accueil_et_r&#233;ception_2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Circulation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Accueil_et_r&#233;ception_3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Petit_d&#233;jeuner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Sanitaires_publiques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Restaurant_principal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Circulation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Restaurant_th&#233;matique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Petit_d&#233;jeuner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Bar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Restaurant_principal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Salle_de_s&#233;minaires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Restaurant_th&#233;matique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Bien_&#234;tre_et_fitness_1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Bar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Bien_&#234;tre_et_fitness_2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Salle_de_s&#233;minaires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Piscine_ext&#233;rieure_1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Bien_&#234;tre_et_fitness_1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6.png"/><Relationship Id="rId7" Type="http://schemas.openxmlformats.org/officeDocument/2006/relationships/image" Target="../media/image7.svg"/><Relationship Id="rId2" Type="http://schemas.openxmlformats.org/officeDocument/2006/relationships/hyperlink" Target="#Accueil!A1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hyperlink" Target="#'Manuel d''utilisation'!A1"/><Relationship Id="rId4" Type="http://schemas.openxmlformats.org/officeDocument/2006/relationships/image" Target="../media/image17.svg"/><Relationship Id="rId9" Type="http://schemas.openxmlformats.org/officeDocument/2006/relationships/image" Target="../media/image19.sv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Piscine_ext&#233;rieure_2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Bien_&#234;tre_et_fitness_2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Piscine_pour_enfants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Piscine_ext&#233;rieure_1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Autres_animations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Piscine_ext&#233;rieure_2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Boutique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Piscine_pour_enfants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Espaces_dhabitation_1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Autres_animations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Espaces_dhabitation_2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Boutique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Espaces_dhabitation_3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Espaces_dhabitation_1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Espaces_dhabitation_4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Espaces_dhabitation_2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SDB_1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Espaces_dhabitation_3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SDB_2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Espaces_dhabitation_4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8.png"/><Relationship Id="rId7" Type="http://schemas.openxmlformats.org/officeDocument/2006/relationships/hyperlink" Target="#'Liste des chapitres'!A1"/><Relationship Id="rId2" Type="http://schemas.openxmlformats.org/officeDocument/2006/relationships/hyperlink" Target="#Accueil!A1"/><Relationship Id="rId1" Type="http://schemas.openxmlformats.org/officeDocument/2006/relationships/image" Target="../media/image20.png"/><Relationship Id="rId6" Type="http://schemas.openxmlformats.org/officeDocument/2006/relationships/image" Target="../media/image17.svg"/><Relationship Id="rId5" Type="http://schemas.openxmlformats.org/officeDocument/2006/relationships/image" Target="../media/image16.png"/><Relationship Id="rId4" Type="http://schemas.openxmlformats.org/officeDocument/2006/relationships/image" Target="../media/image19.svg"/><Relationship Id="rId9" Type="http://schemas.openxmlformats.org/officeDocument/2006/relationships/image" Target="../media/image21.sv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SDB_3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SDB_1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Personnel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SDB_2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EEA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SDB_3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R&#233;sultats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Personnel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hyperlink" Target="#R&#233;sultats_4_&#233;toiles!A1"/><Relationship Id="rId3" Type="http://schemas.openxmlformats.org/officeDocument/2006/relationships/image" Target="../media/image18.png"/><Relationship Id="rId7" Type="http://schemas.openxmlformats.org/officeDocument/2006/relationships/image" Target="../media/image17.svg"/><Relationship Id="rId2" Type="http://schemas.openxmlformats.org/officeDocument/2006/relationships/hyperlink" Target="#Accueil!A1"/><Relationship Id="rId1" Type="http://schemas.openxmlformats.org/officeDocument/2006/relationships/image" Target="../media/image71.png"/><Relationship Id="rId6" Type="http://schemas.openxmlformats.org/officeDocument/2006/relationships/image" Target="../media/image16.png"/><Relationship Id="rId5" Type="http://schemas.openxmlformats.org/officeDocument/2006/relationships/hyperlink" Target="#R&#233;sultats!A1"/><Relationship Id="rId10" Type="http://schemas.openxmlformats.org/officeDocument/2006/relationships/image" Target="../media/image21.svg"/><Relationship Id="rId4" Type="http://schemas.openxmlformats.org/officeDocument/2006/relationships/image" Target="../media/image19.svg"/><Relationship Id="rId9" Type="http://schemas.openxmlformats.org/officeDocument/2006/relationships/image" Target="../media/image6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hyperlink" Target="#R&#233;sultats_3_&#233;toiles!A1"/><Relationship Id="rId3" Type="http://schemas.openxmlformats.org/officeDocument/2006/relationships/image" Target="../media/image18.png"/><Relationship Id="rId7" Type="http://schemas.openxmlformats.org/officeDocument/2006/relationships/image" Target="../media/image17.svg"/><Relationship Id="rId2" Type="http://schemas.openxmlformats.org/officeDocument/2006/relationships/hyperlink" Target="#Accueil!A1"/><Relationship Id="rId1" Type="http://schemas.openxmlformats.org/officeDocument/2006/relationships/image" Target="../media/image71.png"/><Relationship Id="rId6" Type="http://schemas.openxmlformats.org/officeDocument/2006/relationships/image" Target="../media/image16.png"/><Relationship Id="rId5" Type="http://schemas.openxmlformats.org/officeDocument/2006/relationships/hyperlink" Target="#R&#233;sultats_5_&#233;toiles!A1"/><Relationship Id="rId10" Type="http://schemas.openxmlformats.org/officeDocument/2006/relationships/image" Target="../media/image21.svg"/><Relationship Id="rId4" Type="http://schemas.openxmlformats.org/officeDocument/2006/relationships/image" Target="../media/image19.svg"/><Relationship Id="rId9" Type="http://schemas.openxmlformats.org/officeDocument/2006/relationships/image" Target="../media/image6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R&#233;sultats_2_&#233;toiles!A1"/><Relationship Id="rId3" Type="http://schemas.openxmlformats.org/officeDocument/2006/relationships/image" Target="../media/image18.png"/><Relationship Id="rId7" Type="http://schemas.openxmlformats.org/officeDocument/2006/relationships/image" Target="../media/image17.svg"/><Relationship Id="rId2" Type="http://schemas.openxmlformats.org/officeDocument/2006/relationships/hyperlink" Target="#Accueil!A1"/><Relationship Id="rId1" Type="http://schemas.openxmlformats.org/officeDocument/2006/relationships/image" Target="../media/image71.png"/><Relationship Id="rId6" Type="http://schemas.openxmlformats.org/officeDocument/2006/relationships/image" Target="../media/image16.png"/><Relationship Id="rId5" Type="http://schemas.openxmlformats.org/officeDocument/2006/relationships/hyperlink" Target="#R&#233;sultats_4_&#233;toiles!A1"/><Relationship Id="rId10" Type="http://schemas.openxmlformats.org/officeDocument/2006/relationships/image" Target="../media/image21.svg"/><Relationship Id="rId4" Type="http://schemas.openxmlformats.org/officeDocument/2006/relationships/image" Target="../media/image19.svg"/><Relationship Id="rId9" Type="http://schemas.openxmlformats.org/officeDocument/2006/relationships/image" Target="../media/image6.png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R&#233;sultats_1_&#233;toiles!A1"/><Relationship Id="rId3" Type="http://schemas.openxmlformats.org/officeDocument/2006/relationships/image" Target="../media/image18.png"/><Relationship Id="rId7" Type="http://schemas.openxmlformats.org/officeDocument/2006/relationships/image" Target="../media/image17.svg"/><Relationship Id="rId2" Type="http://schemas.openxmlformats.org/officeDocument/2006/relationships/hyperlink" Target="#Accueil!A1"/><Relationship Id="rId1" Type="http://schemas.openxmlformats.org/officeDocument/2006/relationships/image" Target="../media/image71.png"/><Relationship Id="rId6" Type="http://schemas.openxmlformats.org/officeDocument/2006/relationships/image" Target="../media/image16.png"/><Relationship Id="rId5" Type="http://schemas.openxmlformats.org/officeDocument/2006/relationships/hyperlink" Target="#R&#233;sultats_3_&#233;toiles!A1"/><Relationship Id="rId10" Type="http://schemas.openxmlformats.org/officeDocument/2006/relationships/image" Target="../media/image21.svg"/><Relationship Id="rId4" Type="http://schemas.openxmlformats.org/officeDocument/2006/relationships/image" Target="../media/image19.svg"/><Relationship Id="rId9" Type="http://schemas.openxmlformats.org/officeDocument/2006/relationships/image" Target="../media/image6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hyperlink" Target="#R&#233;sultats!A1"/><Relationship Id="rId3" Type="http://schemas.openxmlformats.org/officeDocument/2006/relationships/image" Target="../media/image18.png"/><Relationship Id="rId7" Type="http://schemas.openxmlformats.org/officeDocument/2006/relationships/image" Target="../media/image17.svg"/><Relationship Id="rId2" Type="http://schemas.openxmlformats.org/officeDocument/2006/relationships/hyperlink" Target="#Accueil!A1"/><Relationship Id="rId1" Type="http://schemas.openxmlformats.org/officeDocument/2006/relationships/image" Target="../media/image71.png"/><Relationship Id="rId6" Type="http://schemas.openxmlformats.org/officeDocument/2006/relationships/image" Target="../media/image16.png"/><Relationship Id="rId5" Type="http://schemas.openxmlformats.org/officeDocument/2006/relationships/hyperlink" Target="#R&#233;sultats_2_&#233;toiles!A1"/><Relationship Id="rId10" Type="http://schemas.openxmlformats.org/officeDocument/2006/relationships/image" Target="../media/image21.svg"/><Relationship Id="rId4" Type="http://schemas.openxmlformats.org/officeDocument/2006/relationships/image" Target="../media/image19.svg"/><Relationship Id="rId9" Type="http://schemas.openxmlformats.org/officeDocument/2006/relationships/image" Target="../media/image6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3.svg"/><Relationship Id="rId21" Type="http://schemas.openxmlformats.org/officeDocument/2006/relationships/hyperlink" Target="#Ext&#233;rieur!A1"/><Relationship Id="rId34" Type="http://schemas.openxmlformats.org/officeDocument/2006/relationships/image" Target="../media/image38.png"/><Relationship Id="rId42" Type="http://schemas.openxmlformats.org/officeDocument/2006/relationships/hyperlink" Target="#Boutique!A1"/><Relationship Id="rId47" Type="http://schemas.openxmlformats.org/officeDocument/2006/relationships/image" Target="../media/image47.svg"/><Relationship Id="rId50" Type="http://schemas.openxmlformats.org/officeDocument/2006/relationships/image" Target="../media/image49.svg"/><Relationship Id="rId55" Type="http://schemas.openxmlformats.org/officeDocument/2006/relationships/image" Target="../media/image52.png"/><Relationship Id="rId63" Type="http://schemas.openxmlformats.org/officeDocument/2006/relationships/hyperlink" Target="#Personnel!A1"/><Relationship Id="rId7" Type="http://schemas.openxmlformats.org/officeDocument/2006/relationships/hyperlink" Target="#Circulation!A1"/><Relationship Id="rId2" Type="http://schemas.openxmlformats.org/officeDocument/2006/relationships/image" Target="../media/image22.png"/><Relationship Id="rId16" Type="http://schemas.openxmlformats.org/officeDocument/2006/relationships/image" Target="../media/image19.svg"/><Relationship Id="rId29" Type="http://schemas.openxmlformats.org/officeDocument/2006/relationships/image" Target="../media/image35.svg"/><Relationship Id="rId11" Type="http://schemas.openxmlformats.org/officeDocument/2006/relationships/image" Target="../media/image28.png"/><Relationship Id="rId24" Type="http://schemas.openxmlformats.org/officeDocument/2006/relationships/hyperlink" Target="#Sanitaires_publiques!A1"/><Relationship Id="rId32" Type="http://schemas.openxmlformats.org/officeDocument/2006/relationships/image" Target="../media/image37.svg"/><Relationship Id="rId37" Type="http://schemas.openxmlformats.org/officeDocument/2006/relationships/image" Target="../media/image40.png"/><Relationship Id="rId40" Type="http://schemas.openxmlformats.org/officeDocument/2006/relationships/image" Target="../media/image42.png"/><Relationship Id="rId45" Type="http://schemas.openxmlformats.org/officeDocument/2006/relationships/hyperlink" Target="#Salle_de_s&#233;minaires!A1"/><Relationship Id="rId53" Type="http://schemas.openxmlformats.org/officeDocument/2006/relationships/image" Target="../media/image51.svg"/><Relationship Id="rId58" Type="http://schemas.openxmlformats.org/officeDocument/2006/relationships/image" Target="../media/image54.png"/><Relationship Id="rId5" Type="http://schemas.openxmlformats.org/officeDocument/2006/relationships/image" Target="../media/image24.png"/><Relationship Id="rId61" Type="http://schemas.openxmlformats.org/officeDocument/2006/relationships/image" Target="../media/image56.png"/><Relationship Id="rId19" Type="http://schemas.openxmlformats.org/officeDocument/2006/relationships/image" Target="../media/image6.png"/><Relationship Id="rId14" Type="http://schemas.openxmlformats.org/officeDocument/2006/relationships/hyperlink" Target="#Accueil!A1"/><Relationship Id="rId22" Type="http://schemas.openxmlformats.org/officeDocument/2006/relationships/image" Target="../media/image30.png"/><Relationship Id="rId27" Type="http://schemas.openxmlformats.org/officeDocument/2006/relationships/hyperlink" Target="#Petit_d&#233;jeuner!A1"/><Relationship Id="rId30" Type="http://schemas.openxmlformats.org/officeDocument/2006/relationships/hyperlink" Target="#Restaurant_th&#233;matique!A1"/><Relationship Id="rId35" Type="http://schemas.openxmlformats.org/officeDocument/2006/relationships/image" Target="../media/image39.svg"/><Relationship Id="rId43" Type="http://schemas.openxmlformats.org/officeDocument/2006/relationships/image" Target="../media/image44.png"/><Relationship Id="rId48" Type="http://schemas.openxmlformats.org/officeDocument/2006/relationships/hyperlink" Target="#Piscine_ext&#233;rieure_1!A1"/><Relationship Id="rId56" Type="http://schemas.openxmlformats.org/officeDocument/2006/relationships/image" Target="../media/image53.svg"/><Relationship Id="rId64" Type="http://schemas.openxmlformats.org/officeDocument/2006/relationships/image" Target="../media/image58.png"/><Relationship Id="rId8" Type="http://schemas.openxmlformats.org/officeDocument/2006/relationships/image" Target="../media/image26.png"/><Relationship Id="rId51" Type="http://schemas.openxmlformats.org/officeDocument/2006/relationships/hyperlink" Target="#Autres_animations!A1"/><Relationship Id="rId3" Type="http://schemas.openxmlformats.org/officeDocument/2006/relationships/image" Target="../media/image23.svg"/><Relationship Id="rId12" Type="http://schemas.openxmlformats.org/officeDocument/2006/relationships/image" Target="../media/image29.svg"/><Relationship Id="rId17" Type="http://schemas.openxmlformats.org/officeDocument/2006/relationships/image" Target="../media/image16.png"/><Relationship Id="rId25" Type="http://schemas.openxmlformats.org/officeDocument/2006/relationships/image" Target="../media/image32.png"/><Relationship Id="rId33" Type="http://schemas.openxmlformats.org/officeDocument/2006/relationships/hyperlink" Target="#Bar!A1"/><Relationship Id="rId38" Type="http://schemas.openxmlformats.org/officeDocument/2006/relationships/image" Target="../media/image41.svg"/><Relationship Id="rId46" Type="http://schemas.openxmlformats.org/officeDocument/2006/relationships/image" Target="../media/image46.png"/><Relationship Id="rId59" Type="http://schemas.openxmlformats.org/officeDocument/2006/relationships/image" Target="../media/image55.svg"/><Relationship Id="rId20" Type="http://schemas.openxmlformats.org/officeDocument/2006/relationships/image" Target="../media/image7.svg"/><Relationship Id="rId41" Type="http://schemas.openxmlformats.org/officeDocument/2006/relationships/image" Target="../media/image43.svg"/><Relationship Id="rId54" Type="http://schemas.openxmlformats.org/officeDocument/2006/relationships/hyperlink" Target="#Espaces_dhabitation_1!A1"/><Relationship Id="rId62" Type="http://schemas.openxmlformats.org/officeDocument/2006/relationships/image" Target="../media/image57.svg"/><Relationship Id="rId1" Type="http://schemas.openxmlformats.org/officeDocument/2006/relationships/hyperlink" Target="#Information_et_r&#233;servation!A1"/><Relationship Id="rId6" Type="http://schemas.openxmlformats.org/officeDocument/2006/relationships/image" Target="../media/image25.svg"/><Relationship Id="rId15" Type="http://schemas.openxmlformats.org/officeDocument/2006/relationships/image" Target="../media/image18.png"/><Relationship Id="rId23" Type="http://schemas.openxmlformats.org/officeDocument/2006/relationships/image" Target="../media/image31.svg"/><Relationship Id="rId28" Type="http://schemas.openxmlformats.org/officeDocument/2006/relationships/image" Target="../media/image34.png"/><Relationship Id="rId36" Type="http://schemas.openxmlformats.org/officeDocument/2006/relationships/hyperlink" Target="#Bien_&#234;tre_et_fitness_1!A1"/><Relationship Id="rId49" Type="http://schemas.openxmlformats.org/officeDocument/2006/relationships/image" Target="../media/image48.png"/><Relationship Id="rId57" Type="http://schemas.openxmlformats.org/officeDocument/2006/relationships/hyperlink" Target="#SDB_1!A1"/><Relationship Id="rId10" Type="http://schemas.openxmlformats.org/officeDocument/2006/relationships/hyperlink" Target="#Restaurant_principal!A1"/><Relationship Id="rId31" Type="http://schemas.openxmlformats.org/officeDocument/2006/relationships/image" Target="../media/image36.png"/><Relationship Id="rId44" Type="http://schemas.openxmlformats.org/officeDocument/2006/relationships/image" Target="../media/image45.svg"/><Relationship Id="rId52" Type="http://schemas.openxmlformats.org/officeDocument/2006/relationships/image" Target="../media/image50.png"/><Relationship Id="rId60" Type="http://schemas.openxmlformats.org/officeDocument/2006/relationships/hyperlink" Target="#EEA!A1"/><Relationship Id="rId65" Type="http://schemas.openxmlformats.org/officeDocument/2006/relationships/image" Target="../media/image59.svg"/><Relationship Id="rId4" Type="http://schemas.openxmlformats.org/officeDocument/2006/relationships/hyperlink" Target="#Accueil_et_r&#233;ception_1!A1"/><Relationship Id="rId9" Type="http://schemas.openxmlformats.org/officeDocument/2006/relationships/image" Target="../media/image27.svg"/><Relationship Id="rId13" Type="http://schemas.openxmlformats.org/officeDocument/2006/relationships/image" Target="../media/image20.png"/><Relationship Id="rId18" Type="http://schemas.openxmlformats.org/officeDocument/2006/relationships/image" Target="../media/image17.svg"/><Relationship Id="rId39" Type="http://schemas.openxmlformats.org/officeDocument/2006/relationships/hyperlink" Target="#Piscine_pour_enfants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svg"/><Relationship Id="rId13" Type="http://schemas.openxmlformats.org/officeDocument/2006/relationships/hyperlink" Target="#R&#233;sultats_2_&#233;toiles!A1"/><Relationship Id="rId3" Type="http://schemas.openxmlformats.org/officeDocument/2006/relationships/image" Target="../media/image18.png"/><Relationship Id="rId7" Type="http://schemas.openxmlformats.org/officeDocument/2006/relationships/image" Target="../media/image61.png"/><Relationship Id="rId12" Type="http://schemas.openxmlformats.org/officeDocument/2006/relationships/hyperlink" Target="#R&#233;sultats_4_&#233;toiles!A1"/><Relationship Id="rId2" Type="http://schemas.openxmlformats.org/officeDocument/2006/relationships/hyperlink" Target="#Accueil!A1"/><Relationship Id="rId1" Type="http://schemas.openxmlformats.org/officeDocument/2006/relationships/image" Target="../media/image1.png"/><Relationship Id="rId6" Type="http://schemas.openxmlformats.org/officeDocument/2006/relationships/image" Target="../media/image17.svg"/><Relationship Id="rId11" Type="http://schemas.openxmlformats.org/officeDocument/2006/relationships/image" Target="../media/image13.svg"/><Relationship Id="rId5" Type="http://schemas.openxmlformats.org/officeDocument/2006/relationships/image" Target="../media/image16.png"/><Relationship Id="rId15" Type="http://schemas.openxmlformats.org/officeDocument/2006/relationships/hyperlink" Target="#R&#233;sultats_1_&#233;toiles!A1"/><Relationship Id="rId10" Type="http://schemas.openxmlformats.org/officeDocument/2006/relationships/image" Target="../media/image12.png"/><Relationship Id="rId4" Type="http://schemas.openxmlformats.org/officeDocument/2006/relationships/image" Target="../media/image60.svg"/><Relationship Id="rId9" Type="http://schemas.openxmlformats.org/officeDocument/2006/relationships/hyperlink" Target="#R&#233;sultats_5_&#233;toiles!A1"/><Relationship Id="rId14" Type="http://schemas.openxmlformats.org/officeDocument/2006/relationships/hyperlink" Target="#R&#233;sultats_3_&#233;toiles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16.png"/><Relationship Id="rId7" Type="http://schemas.openxmlformats.org/officeDocument/2006/relationships/image" Target="../media/image65.svg"/><Relationship Id="rId2" Type="http://schemas.openxmlformats.org/officeDocument/2006/relationships/hyperlink" Target="#'Liste des chapitres'!A1"/><Relationship Id="rId1" Type="http://schemas.openxmlformats.org/officeDocument/2006/relationships/image" Target="../media/image63.png"/><Relationship Id="rId6" Type="http://schemas.openxmlformats.org/officeDocument/2006/relationships/image" Target="../media/image64.png"/><Relationship Id="rId5" Type="http://schemas.openxmlformats.org/officeDocument/2006/relationships/hyperlink" Target="#Ext&#233;rieur!A1"/><Relationship Id="rId4" Type="http://schemas.openxmlformats.org/officeDocument/2006/relationships/image" Target="../media/image17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16.png"/><Relationship Id="rId7" Type="http://schemas.openxmlformats.org/officeDocument/2006/relationships/image" Target="../media/image69.svg"/><Relationship Id="rId2" Type="http://schemas.openxmlformats.org/officeDocument/2006/relationships/hyperlink" Target="#Accueil_et_r&#233;ception_1!A1"/><Relationship Id="rId1" Type="http://schemas.openxmlformats.org/officeDocument/2006/relationships/image" Target="../media/image66.png"/><Relationship Id="rId6" Type="http://schemas.openxmlformats.org/officeDocument/2006/relationships/image" Target="../media/image68.png"/><Relationship Id="rId5" Type="http://schemas.openxmlformats.org/officeDocument/2006/relationships/hyperlink" Target="#Information_et_r&#233;servation!A1"/><Relationship Id="rId4" Type="http://schemas.openxmlformats.org/officeDocument/2006/relationships/image" Target="../media/image67.svg"/><Relationship Id="rId9" Type="http://schemas.openxmlformats.org/officeDocument/2006/relationships/hyperlink" Target="#'Liste des chapitres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Accueil_et_r&#233;ception_2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Ext&#233;rieur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Accueil!A1"/><Relationship Id="rId3" Type="http://schemas.openxmlformats.org/officeDocument/2006/relationships/image" Target="../media/image64.png"/><Relationship Id="rId7" Type="http://schemas.openxmlformats.org/officeDocument/2006/relationships/image" Target="../media/image69.svg"/><Relationship Id="rId2" Type="http://schemas.openxmlformats.org/officeDocument/2006/relationships/hyperlink" Target="#Accueil_et_r&#233;ception_3!A1"/><Relationship Id="rId1" Type="http://schemas.openxmlformats.org/officeDocument/2006/relationships/image" Target="../media/image70.png"/><Relationship Id="rId6" Type="http://schemas.openxmlformats.org/officeDocument/2006/relationships/image" Target="../media/image68.png"/><Relationship Id="rId5" Type="http://schemas.openxmlformats.org/officeDocument/2006/relationships/hyperlink" Target="#Accueil_et_r&#233;ception_1!A1"/><Relationship Id="rId4" Type="http://schemas.openxmlformats.org/officeDocument/2006/relationships/image" Target="../media/image65.svg"/><Relationship Id="rId9" Type="http://schemas.openxmlformats.org/officeDocument/2006/relationships/hyperlink" Target="#'Liste des chapitr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182359</xdr:colOff>
      <xdr:row>1</xdr:row>
      <xdr:rowOff>84666</xdr:rowOff>
    </xdr:from>
    <xdr:to>
      <xdr:col>4</xdr:col>
      <xdr:colOff>439443</xdr:colOff>
      <xdr:row>5</xdr:row>
      <xdr:rowOff>206816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1B4BF7B-76EC-4047-BF2D-D592983012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41439" y="267546"/>
          <a:ext cx="2089694" cy="93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182624</xdr:colOff>
      <xdr:row>20</xdr:row>
      <xdr:rowOff>57137</xdr:rowOff>
    </xdr:from>
    <xdr:to>
      <xdr:col>7</xdr:col>
      <xdr:colOff>601996</xdr:colOff>
      <xdr:row>23</xdr:row>
      <xdr:rowOff>88433</xdr:rowOff>
    </xdr:to>
    <xdr:grpSp>
      <xdr:nvGrpSpPr>
        <xdr:cNvPr id="23" name="Groupe 22">
          <a:extLst>
            <a:ext uri="{FF2B5EF4-FFF2-40B4-BE49-F238E27FC236}">
              <a16:creationId xmlns:a16="http://schemas.microsoft.com/office/drawing/2014/main" id="{F180E8F9-8419-4C61-A211-61ADFE860FEB}"/>
            </a:ext>
          </a:extLst>
        </xdr:cNvPr>
        <xdr:cNvGrpSpPr/>
      </xdr:nvGrpSpPr>
      <xdr:grpSpPr>
        <a:xfrm>
          <a:off x="3193011" y="3995877"/>
          <a:ext cx="2056037" cy="584529"/>
          <a:chOff x="179947" y="1266468"/>
          <a:chExt cx="1982997" cy="574848"/>
        </a:xfrm>
      </xdr:grpSpPr>
      <xdr:sp macro="" textlink="">
        <xdr:nvSpPr>
          <xdr:cNvPr id="24" name="Rectangle : coins arrondis 23">
            <a:extLst>
              <a:ext uri="{FF2B5EF4-FFF2-40B4-BE49-F238E27FC236}">
                <a16:creationId xmlns:a16="http://schemas.microsoft.com/office/drawing/2014/main" id="{00B60AB9-8C12-16C1-EA16-490CE96ED253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>
              <a:lumMod val="95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25" name="Groupe 24">
            <a:extLst>
              <a:ext uri="{FF2B5EF4-FFF2-40B4-BE49-F238E27FC236}">
                <a16:creationId xmlns:a16="http://schemas.microsoft.com/office/drawing/2014/main" id="{52E5081D-8D25-E6BC-60F3-3D99533CCC0B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26" name="Graphique 25" descr="Logement avec un remplissage uni">
              <a:extLst>
                <a:ext uri="{FF2B5EF4-FFF2-40B4-BE49-F238E27FC236}">
                  <a16:creationId xmlns:a16="http://schemas.microsoft.com/office/drawing/2014/main" id="{465F67EB-2BB2-0260-C4DF-03069EF0AB8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27" name="ZoneTexte 26">
              <a:extLst>
                <a:ext uri="{FF2B5EF4-FFF2-40B4-BE49-F238E27FC236}">
                  <a16:creationId xmlns:a16="http://schemas.microsoft.com/office/drawing/2014/main" id="{E2566C99-D608-9918-BEF2-C3D2927A83D2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2</xdr:col>
      <xdr:colOff>1994</xdr:colOff>
      <xdr:row>20</xdr:row>
      <xdr:rowOff>65160</xdr:rowOff>
    </xdr:from>
    <xdr:to>
      <xdr:col>4</xdr:col>
      <xdr:colOff>515605</xdr:colOff>
      <xdr:row>23</xdr:row>
      <xdr:rowOff>84220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2D6385CC-7BEE-4A17-9E18-D9B7EFBC1DB6}"/>
            </a:ext>
          </a:extLst>
        </xdr:cNvPr>
        <xdr:cNvGrpSpPr/>
      </xdr:nvGrpSpPr>
      <xdr:grpSpPr>
        <a:xfrm>
          <a:off x="537830" y="4003900"/>
          <a:ext cx="2197109" cy="572293"/>
          <a:chOff x="179886" y="1268633"/>
          <a:chExt cx="1983736" cy="573466"/>
        </a:xfrm>
      </xdr:grpSpPr>
      <xdr:sp macro="" textlink="">
        <xdr:nvSpPr>
          <xdr:cNvPr id="29" name="Rectangle : coins arrondis 28">
            <a:extLst>
              <a:ext uri="{FF2B5EF4-FFF2-40B4-BE49-F238E27FC236}">
                <a16:creationId xmlns:a16="http://schemas.microsoft.com/office/drawing/2014/main" id="{8A743811-D7E7-DF20-9DF1-63D6ED4C007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>
              <a:lumMod val="95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30" name="Groupe 29">
            <a:extLst>
              <a:ext uri="{FF2B5EF4-FFF2-40B4-BE49-F238E27FC236}">
                <a16:creationId xmlns:a16="http://schemas.microsoft.com/office/drawing/2014/main" id="{BE75602D-7639-A886-765B-5574C45248A9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31" name="Graphique 30" descr="Flèche : droite avec un remplissage uni">
              <a:extLst>
                <a:ext uri="{FF2B5EF4-FFF2-40B4-BE49-F238E27FC236}">
                  <a16:creationId xmlns:a16="http://schemas.microsoft.com/office/drawing/2014/main" id="{5B16E27B-DA8E-2D20-850F-E9CEC02FB5B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32" name="ZoneTexte 31">
              <a:extLst>
                <a:ext uri="{FF2B5EF4-FFF2-40B4-BE49-F238E27FC236}">
                  <a16:creationId xmlns:a16="http://schemas.microsoft.com/office/drawing/2014/main" id="{8B5C27C0-5ACA-C33A-BBD6-690526853C2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8</xdr:col>
      <xdr:colOff>357782</xdr:colOff>
      <xdr:row>20</xdr:row>
      <xdr:rowOff>66997</xdr:rowOff>
    </xdr:from>
    <xdr:to>
      <xdr:col>10</xdr:col>
      <xdr:colOff>782175</xdr:colOff>
      <xdr:row>23</xdr:row>
      <xdr:rowOff>82382</xdr:rowOff>
    </xdr:to>
    <xdr:grpSp>
      <xdr:nvGrpSpPr>
        <xdr:cNvPr id="33" name="Groupe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2A82EB-BC6D-47FF-9F6A-DE0373C6EBB1}"/>
            </a:ext>
          </a:extLst>
        </xdr:cNvPr>
        <xdr:cNvGrpSpPr/>
      </xdr:nvGrpSpPr>
      <xdr:grpSpPr>
        <a:xfrm>
          <a:off x="5826263" y="4005737"/>
          <a:ext cx="2102811" cy="568618"/>
          <a:chOff x="179886" y="1268633"/>
          <a:chExt cx="1983736" cy="573466"/>
        </a:xfrm>
      </xdr:grpSpPr>
      <xdr:sp macro="" textlink="">
        <xdr:nvSpPr>
          <xdr:cNvPr id="34" name="Rectangle : coins arrondis 33">
            <a:extLst>
              <a:ext uri="{FF2B5EF4-FFF2-40B4-BE49-F238E27FC236}">
                <a16:creationId xmlns:a16="http://schemas.microsoft.com/office/drawing/2014/main" id="{964CD5D6-768D-65EB-DA90-D7A68D48CDEA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35" name="Groupe 34">
            <a:extLst>
              <a:ext uri="{FF2B5EF4-FFF2-40B4-BE49-F238E27FC236}">
                <a16:creationId xmlns:a16="http://schemas.microsoft.com/office/drawing/2014/main" id="{33C8FF66-999D-502B-B2EE-202F680767F8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36" name="Graphique 35" descr="Flèche : courbe légère avec un remplissage uni">
              <a:extLst>
                <a:ext uri="{FF2B5EF4-FFF2-40B4-BE49-F238E27FC236}">
                  <a16:creationId xmlns:a16="http://schemas.microsoft.com/office/drawing/2014/main" id="{2CEF5F37-9374-61BB-CECB-E0E3806C6BA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37" name="ZoneTexte 36">
              <a:extLst>
                <a:ext uri="{FF2B5EF4-FFF2-40B4-BE49-F238E27FC236}">
                  <a16:creationId xmlns:a16="http://schemas.microsoft.com/office/drawing/2014/main" id="{A9302E3D-7CCA-EF8F-75F9-8ACF3D8D58CD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1</xdr:col>
      <xdr:colOff>264820</xdr:colOff>
      <xdr:row>8</xdr:row>
      <xdr:rowOff>2578</xdr:rowOff>
    </xdr:from>
    <xdr:to>
      <xdr:col>5</xdr:col>
      <xdr:colOff>820089</xdr:colOff>
      <xdr:row>12</xdr:row>
      <xdr:rowOff>0</xdr:rowOff>
    </xdr:to>
    <xdr:grpSp>
      <xdr:nvGrpSpPr>
        <xdr:cNvPr id="66" name="Groupe 6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50614F-94D0-3C2E-9354-CF1630958195}"/>
            </a:ext>
          </a:extLst>
        </xdr:cNvPr>
        <xdr:cNvGrpSpPr/>
      </xdr:nvGrpSpPr>
      <xdr:grpSpPr>
        <a:xfrm>
          <a:off x="535278" y="1613564"/>
          <a:ext cx="3295198" cy="790737"/>
          <a:chOff x="521213" y="1602092"/>
          <a:chExt cx="3156856" cy="740704"/>
        </a:xfrm>
      </xdr:grpSpPr>
      <xdr:sp macro="" textlink="">
        <xdr:nvSpPr>
          <xdr:cNvPr id="62" name="Rectangle : coins arrondis 61">
            <a:extLst>
              <a:ext uri="{FF2B5EF4-FFF2-40B4-BE49-F238E27FC236}">
                <a16:creationId xmlns:a16="http://schemas.microsoft.com/office/drawing/2014/main" id="{7B8DACE5-6150-442E-ED11-E17EF7F367EA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63" name="ZoneTexte 62">
            <a:extLst>
              <a:ext uri="{FF2B5EF4-FFF2-40B4-BE49-F238E27FC236}">
                <a16:creationId xmlns:a16="http://schemas.microsoft.com/office/drawing/2014/main" id="{51DD8516-ACE5-786B-89B0-82BDFF00BDDA}"/>
              </a:ext>
            </a:extLst>
          </xdr:cNvPr>
          <xdr:cNvSpPr txBox="1"/>
        </xdr:nvSpPr>
        <xdr:spPr>
          <a:xfrm>
            <a:off x="1661255" y="1602092"/>
            <a:ext cx="2016814" cy="7407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Manuel d'utilisation</a:t>
            </a:r>
          </a:p>
        </xdr:txBody>
      </xdr:sp>
      <xdr:pic>
        <xdr:nvPicPr>
          <xdr:cNvPr id="65" name="Graphique 64" descr="Guide opérationnel avec un remplissage uni">
            <a:extLst>
              <a:ext uri="{FF2B5EF4-FFF2-40B4-BE49-F238E27FC236}">
                <a16:creationId xmlns:a16="http://schemas.microsoft.com/office/drawing/2014/main" id="{99B34DED-D938-5040-3459-EC5E29290E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rcRect/>
          <a:stretch/>
        </xdr:blipFill>
        <xdr:spPr>
          <a:xfrm>
            <a:off x="837916" y="1668305"/>
            <a:ext cx="608041" cy="608042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</xdr:colOff>
      <xdr:row>7</xdr:row>
      <xdr:rowOff>173679</xdr:rowOff>
    </xdr:from>
    <xdr:to>
      <xdr:col>10</xdr:col>
      <xdr:colOff>816280</xdr:colOff>
      <xdr:row>12</xdr:row>
      <xdr:rowOff>3810</xdr:rowOff>
    </xdr:to>
    <xdr:grpSp>
      <xdr:nvGrpSpPr>
        <xdr:cNvPr id="67" name="Groupe 6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8BC409D-5866-1F38-208E-CFD014FBE21F}"/>
            </a:ext>
          </a:extLst>
        </xdr:cNvPr>
        <xdr:cNvGrpSpPr/>
      </xdr:nvGrpSpPr>
      <xdr:grpSpPr>
        <a:xfrm>
          <a:off x="4624193" y="1600254"/>
          <a:ext cx="3326286" cy="807857"/>
          <a:chOff x="521213" y="1604460"/>
          <a:chExt cx="3156856" cy="738335"/>
        </a:xfrm>
      </xdr:grpSpPr>
      <xdr:sp macro="" textlink="">
        <xdr:nvSpPr>
          <xdr:cNvPr id="68" name="Rectangle : coins arrondis 67">
            <a:extLst>
              <a:ext uri="{FF2B5EF4-FFF2-40B4-BE49-F238E27FC236}">
                <a16:creationId xmlns:a16="http://schemas.microsoft.com/office/drawing/2014/main" id="{C83F2BD6-4D07-7073-3BEF-2C5C03C82DBC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69" name="ZoneTexte 68">
            <a:extLst>
              <a:ext uri="{FF2B5EF4-FFF2-40B4-BE49-F238E27FC236}">
                <a16:creationId xmlns:a16="http://schemas.microsoft.com/office/drawing/2014/main" id="{FCB52FDF-4E0D-D05B-4189-65FD3165977B}"/>
              </a:ext>
            </a:extLst>
          </xdr:cNvPr>
          <xdr:cNvSpPr txBox="1"/>
        </xdr:nvSpPr>
        <xdr:spPr>
          <a:xfrm>
            <a:off x="1661255" y="1789043"/>
            <a:ext cx="2016814" cy="36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Liste des chapitres</a:t>
            </a:r>
          </a:p>
        </xdr:txBody>
      </xdr:sp>
      <xdr:pic>
        <xdr:nvPicPr>
          <xdr:cNvPr id="70" name="Graphique 69" descr="Liste avec un remplissage uni">
            <a:extLst>
              <a:ext uri="{FF2B5EF4-FFF2-40B4-BE49-F238E27FC236}">
                <a16:creationId xmlns:a16="http://schemas.microsoft.com/office/drawing/2014/main" id="{92A78C32-0892-7587-A09D-C2E857FB98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rcRect/>
          <a:stretch/>
        </xdr:blipFill>
        <xdr:spPr>
          <a:xfrm>
            <a:off x="837917" y="1668304"/>
            <a:ext cx="608043" cy="608042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0</xdr:colOff>
      <xdr:row>13</xdr:row>
      <xdr:rowOff>1508</xdr:rowOff>
    </xdr:from>
    <xdr:to>
      <xdr:col>10</xdr:col>
      <xdr:colOff>816279</xdr:colOff>
      <xdr:row>16</xdr:row>
      <xdr:rowOff>172876</xdr:rowOff>
    </xdr:to>
    <xdr:grpSp>
      <xdr:nvGrpSpPr>
        <xdr:cNvPr id="71" name="Groupe 7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B3BC558-EFAD-0DB7-8B82-C8068CAA77F5}"/>
            </a:ext>
          </a:extLst>
        </xdr:cNvPr>
        <xdr:cNvGrpSpPr/>
      </xdr:nvGrpSpPr>
      <xdr:grpSpPr>
        <a:xfrm>
          <a:off x="4624192" y="2618056"/>
          <a:ext cx="3326286" cy="724601"/>
          <a:chOff x="521213" y="1600302"/>
          <a:chExt cx="3156856" cy="744284"/>
        </a:xfrm>
      </xdr:grpSpPr>
      <xdr:sp macro="" textlink="">
        <xdr:nvSpPr>
          <xdr:cNvPr id="72" name="Rectangle : coins arrondis 71">
            <a:extLst>
              <a:ext uri="{FF2B5EF4-FFF2-40B4-BE49-F238E27FC236}">
                <a16:creationId xmlns:a16="http://schemas.microsoft.com/office/drawing/2014/main" id="{D2E92114-63EE-CE73-C292-05C1D7394FE5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73" name="ZoneTexte 72">
            <a:extLst>
              <a:ext uri="{FF2B5EF4-FFF2-40B4-BE49-F238E27FC236}">
                <a16:creationId xmlns:a16="http://schemas.microsoft.com/office/drawing/2014/main" id="{92EB8B44-5951-8B23-6B46-68D6FDDB7D13}"/>
              </a:ext>
            </a:extLst>
          </xdr:cNvPr>
          <xdr:cNvSpPr txBox="1"/>
        </xdr:nvSpPr>
        <xdr:spPr>
          <a:xfrm>
            <a:off x="1661255" y="1600302"/>
            <a:ext cx="2016814" cy="744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Résultats par catégorie</a:t>
            </a:r>
          </a:p>
        </xdr:txBody>
      </xdr:sp>
      <xdr:pic>
        <xdr:nvPicPr>
          <xdr:cNvPr id="74" name="Graphique 73" descr="Étoile avec un remplissage uni">
            <a:extLst>
              <a:ext uri="{FF2B5EF4-FFF2-40B4-BE49-F238E27FC236}">
                <a16:creationId xmlns:a16="http://schemas.microsoft.com/office/drawing/2014/main" id="{E077412E-3E23-22D8-A582-2E4AD29465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rcRect/>
          <a:stretch/>
        </xdr:blipFill>
        <xdr:spPr>
          <a:xfrm>
            <a:off x="862652" y="1668305"/>
            <a:ext cx="558569" cy="60804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264820</xdr:colOff>
      <xdr:row>13</xdr:row>
      <xdr:rowOff>3809</xdr:rowOff>
    </xdr:from>
    <xdr:to>
      <xdr:col>6</xdr:col>
      <xdr:colOff>0</xdr:colOff>
      <xdr:row>17</xdr:row>
      <xdr:rowOff>1906</xdr:rowOff>
    </xdr:to>
    <xdr:grpSp>
      <xdr:nvGrpSpPr>
        <xdr:cNvPr id="75" name="Groupe 7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EC5978-79F8-35AB-2C37-CE036FE3B66E}"/>
            </a:ext>
          </a:extLst>
        </xdr:cNvPr>
        <xdr:cNvGrpSpPr/>
      </xdr:nvGrpSpPr>
      <xdr:grpSpPr>
        <a:xfrm>
          <a:off x="535278" y="2620357"/>
          <a:ext cx="3299078" cy="735741"/>
          <a:chOff x="521213" y="1604460"/>
          <a:chExt cx="3156856" cy="738335"/>
        </a:xfrm>
      </xdr:grpSpPr>
      <xdr:sp macro="" textlink="">
        <xdr:nvSpPr>
          <xdr:cNvPr id="76" name="Rectangle : coins arrondis 75">
            <a:extLst>
              <a:ext uri="{FF2B5EF4-FFF2-40B4-BE49-F238E27FC236}">
                <a16:creationId xmlns:a16="http://schemas.microsoft.com/office/drawing/2014/main" id="{02B11618-B1F8-01EA-627B-F315FA6EAACB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77" name="ZoneTexte 76">
            <a:extLst>
              <a:ext uri="{FF2B5EF4-FFF2-40B4-BE49-F238E27FC236}">
                <a16:creationId xmlns:a16="http://schemas.microsoft.com/office/drawing/2014/main" id="{95AC777E-2186-722E-7D3E-CFC04AEE26FB}"/>
              </a:ext>
            </a:extLst>
          </xdr:cNvPr>
          <xdr:cNvSpPr txBox="1"/>
        </xdr:nvSpPr>
        <xdr:spPr>
          <a:xfrm>
            <a:off x="1661255" y="1789043"/>
            <a:ext cx="2016814" cy="36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Identification</a:t>
            </a:r>
          </a:p>
        </xdr:txBody>
      </xdr:sp>
      <xdr:pic>
        <xdr:nvPicPr>
          <xdr:cNvPr id="78" name="Graphique 77" descr="Hashtag avec un remplissage uni">
            <a:extLst>
              <a:ext uri="{FF2B5EF4-FFF2-40B4-BE49-F238E27FC236}">
                <a16:creationId xmlns:a16="http://schemas.microsoft.com/office/drawing/2014/main" id="{67472971-AD53-4F51-6CB1-DB8F2603EC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96DAC541-7B7A-43D3-8B79-37D633B846F1}">
                <asvg:svgBlip xmlns:asvg="http://schemas.microsoft.com/office/drawing/2016/SVG/main" r:embed="rId19"/>
              </a:ext>
            </a:extLst>
          </a:blip>
          <a:srcRect/>
          <a:stretch/>
        </xdr:blipFill>
        <xdr:spPr>
          <a:xfrm>
            <a:off x="851445" y="1668305"/>
            <a:ext cx="580981" cy="608042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2398E3-EA96-4FA2-BEFA-50729914A7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38</xdr:row>
      <xdr:rowOff>55567</xdr:rowOff>
    </xdr:from>
    <xdr:to>
      <xdr:col>10</xdr:col>
      <xdr:colOff>782175</xdr:colOff>
      <xdr:row>41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84EF6-39B9-47D4-AEA7-26D6D6C758F3}"/>
            </a:ext>
          </a:extLst>
        </xdr:cNvPr>
        <xdr:cNvGrpSpPr/>
      </xdr:nvGrpSpPr>
      <xdr:grpSpPr>
        <a:xfrm>
          <a:off x="5875636" y="8169649"/>
          <a:ext cx="2095191" cy="589573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281FD98A-1CB7-6576-DB5B-E61B0CC379DE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F1F577B-CB0D-F35D-7438-9DCC7392770E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C2D77E1D-0641-62A6-AF14-326AE1504D7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E12EA4CB-77C8-BF00-8225-22E7087A836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38</xdr:row>
      <xdr:rowOff>55567</xdr:rowOff>
    </xdr:from>
    <xdr:to>
      <xdr:col>4</xdr:col>
      <xdr:colOff>416774</xdr:colOff>
      <xdr:row>41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20B015-BE10-4178-B80A-64356CA0D9D5}"/>
            </a:ext>
          </a:extLst>
        </xdr:cNvPr>
        <xdr:cNvGrpSpPr/>
      </xdr:nvGrpSpPr>
      <xdr:grpSpPr>
        <a:xfrm>
          <a:off x="535836" y="8169649"/>
          <a:ext cx="2095192" cy="589573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DBA69E53-4E2C-CC5D-4676-2ECBB9D2CF8F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41D48212-27FB-0905-5630-7517AA8EC3A3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71B309AC-59F7-4978-66AA-C7C5090FA2F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D5CD7C6D-832E-6644-F297-DB04E3E3205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346120</xdr:colOff>
      <xdr:row>40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1743F64-D953-4D60-88D5-EF5E2749B1D3}"/>
            </a:ext>
          </a:extLst>
        </xdr:cNvPr>
        <xdr:cNvSpPr/>
      </xdr:nvSpPr>
      <xdr:spPr>
        <a:xfrm>
          <a:off x="2876550" y="943927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39</xdr:row>
      <xdr:rowOff>0</xdr:rowOff>
    </xdr:from>
    <xdr:to>
      <xdr:col>7</xdr:col>
      <xdr:colOff>785739</xdr:colOff>
      <xdr:row>40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7A05F4-6CFE-48C8-B4E6-70E17B8669DE}"/>
            </a:ext>
          </a:extLst>
        </xdr:cNvPr>
        <xdr:cNvSpPr/>
      </xdr:nvSpPr>
      <xdr:spPr>
        <a:xfrm>
          <a:off x="4104685" y="943927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2E06581-1084-4542-BDD0-2D7A9C7B7F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57</xdr:row>
      <xdr:rowOff>59377</xdr:rowOff>
    </xdr:from>
    <xdr:to>
      <xdr:col>10</xdr:col>
      <xdr:colOff>778365</xdr:colOff>
      <xdr:row>60</xdr:row>
      <xdr:rowOff>88097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81F51-5696-439C-AD82-38D8C0F898A6}"/>
            </a:ext>
          </a:extLst>
        </xdr:cNvPr>
        <xdr:cNvGrpSpPr/>
      </xdr:nvGrpSpPr>
      <xdr:grpSpPr>
        <a:xfrm>
          <a:off x="5871826" y="11506774"/>
          <a:ext cx="2095191" cy="581953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C9F8C770-EB23-B473-9FBF-EE37E0B4E0A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C815FF30-42F3-493B-7268-29ECFA4A8A2B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96FD13CC-8367-97DE-755A-57883B31C38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F3990CD1-5A86-9151-8911-AD6B954AA466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57</xdr:row>
      <xdr:rowOff>59377</xdr:rowOff>
    </xdr:from>
    <xdr:to>
      <xdr:col>4</xdr:col>
      <xdr:colOff>416774</xdr:colOff>
      <xdr:row>60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43466D-4315-461D-AC44-2795DD915C50}"/>
            </a:ext>
          </a:extLst>
        </xdr:cNvPr>
        <xdr:cNvGrpSpPr/>
      </xdr:nvGrpSpPr>
      <xdr:grpSpPr>
        <a:xfrm>
          <a:off x="535836" y="11506774"/>
          <a:ext cx="2095192" cy="589573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10A903F7-0B16-D3C6-B30A-188C5071CBF9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4DC26E46-60C6-C610-5C80-FDCBDD9DD443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A091898B-CA93-595A-2D9E-F011A5A50A4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0896E67F-47D3-0297-28D7-A6CFB1AA01C0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58</xdr:row>
      <xdr:rowOff>0</xdr:rowOff>
    </xdr:from>
    <xdr:to>
      <xdr:col>6</xdr:col>
      <xdr:colOff>346120</xdr:colOff>
      <xdr:row>59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019D96-685F-4E1D-A2C0-2F598B2C83B9}"/>
            </a:ext>
          </a:extLst>
        </xdr:cNvPr>
        <xdr:cNvSpPr/>
      </xdr:nvSpPr>
      <xdr:spPr>
        <a:xfrm>
          <a:off x="2876550" y="119348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58</xdr:row>
      <xdr:rowOff>0</xdr:rowOff>
    </xdr:from>
    <xdr:to>
      <xdr:col>7</xdr:col>
      <xdr:colOff>785739</xdr:colOff>
      <xdr:row>59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E9C689F-0925-4364-8251-067793912138}"/>
            </a:ext>
          </a:extLst>
        </xdr:cNvPr>
        <xdr:cNvSpPr/>
      </xdr:nvSpPr>
      <xdr:spPr>
        <a:xfrm>
          <a:off x="4104685" y="119348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285BD7-D193-4C48-93D9-B2911E6F04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36</xdr:row>
      <xdr:rowOff>55567</xdr:rowOff>
    </xdr:from>
    <xdr:to>
      <xdr:col>10</xdr:col>
      <xdr:colOff>782175</xdr:colOff>
      <xdr:row>39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B81C5-B7A2-4CF1-B21F-F2ED63588F53}"/>
            </a:ext>
          </a:extLst>
        </xdr:cNvPr>
        <xdr:cNvGrpSpPr/>
      </xdr:nvGrpSpPr>
      <xdr:grpSpPr>
        <a:xfrm>
          <a:off x="5875636" y="7501594"/>
          <a:ext cx="2095191" cy="589573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D9D5E049-BA67-C6A7-087A-783C17619A0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728BE2FB-077C-0B3C-0382-58CD99A6DBBC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A06C43EF-06A7-FC96-966C-05B4D0C1336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58950D43-2387-8963-39C6-DE0E6717591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36</xdr:row>
      <xdr:rowOff>55567</xdr:rowOff>
    </xdr:from>
    <xdr:to>
      <xdr:col>4</xdr:col>
      <xdr:colOff>416774</xdr:colOff>
      <xdr:row>39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0E066F-8CE8-4470-BB34-BDDF56B24BD7}"/>
            </a:ext>
          </a:extLst>
        </xdr:cNvPr>
        <xdr:cNvGrpSpPr/>
      </xdr:nvGrpSpPr>
      <xdr:grpSpPr>
        <a:xfrm>
          <a:off x="535836" y="7501594"/>
          <a:ext cx="2095192" cy="589573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A018F488-666A-C498-EDF9-CBA56AB6B2B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249AD0C1-FDEF-6F1A-E8C2-46D6B3AB39DF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3BDC3248-317C-AE66-58B8-62BB22B6261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CB8A58F8-9189-29B3-FB53-B4101ACDE9A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37</xdr:row>
      <xdr:rowOff>0</xdr:rowOff>
    </xdr:from>
    <xdr:to>
      <xdr:col>6</xdr:col>
      <xdr:colOff>346120</xdr:colOff>
      <xdr:row>38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A784320-02B0-4DD1-8E02-D5C6B7B0B2E6}"/>
            </a:ext>
          </a:extLst>
        </xdr:cNvPr>
        <xdr:cNvSpPr/>
      </xdr:nvSpPr>
      <xdr:spPr>
        <a:xfrm>
          <a:off x="2876550" y="1162050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37</xdr:row>
      <xdr:rowOff>0</xdr:rowOff>
    </xdr:from>
    <xdr:to>
      <xdr:col>7</xdr:col>
      <xdr:colOff>785739</xdr:colOff>
      <xdr:row>38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37DCF8-6B95-4077-B9AD-FC73ACC6EFBB}"/>
            </a:ext>
          </a:extLst>
        </xdr:cNvPr>
        <xdr:cNvSpPr/>
      </xdr:nvSpPr>
      <xdr:spPr>
        <a:xfrm>
          <a:off x="4104685" y="1162050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172085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5983C5-F3E0-40F0-8BF9-52F59EDCA4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373802</xdr:colOff>
      <xdr:row>40</xdr:row>
      <xdr:rowOff>59377</xdr:rowOff>
    </xdr:from>
    <xdr:to>
      <xdr:col>12</xdr:col>
      <xdr:colOff>0</xdr:colOff>
      <xdr:row>43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0E9630-906B-4FDF-8C7F-103B424846D5}"/>
            </a:ext>
          </a:extLst>
        </xdr:cNvPr>
        <xdr:cNvGrpSpPr/>
      </xdr:nvGrpSpPr>
      <xdr:grpSpPr>
        <a:xfrm>
          <a:off x="6709965" y="8517198"/>
          <a:ext cx="2104214" cy="58225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5AA09449-3E3E-A9E2-479F-FA676470CC8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9608341C-4518-AAFF-E45E-803723873F61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111C1592-B181-1A13-FF82-36295679D39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1C3D66E8-71F0-14D0-A1F0-F98A8321851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40</xdr:row>
      <xdr:rowOff>55567</xdr:rowOff>
    </xdr:from>
    <xdr:to>
      <xdr:col>4</xdr:col>
      <xdr:colOff>416774</xdr:colOff>
      <xdr:row>43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BECFC6-951C-4A6E-9F07-B1152FA51AAA}"/>
            </a:ext>
          </a:extLst>
        </xdr:cNvPr>
        <xdr:cNvGrpSpPr/>
      </xdr:nvGrpSpPr>
      <xdr:grpSpPr>
        <a:xfrm>
          <a:off x="538328" y="8513388"/>
          <a:ext cx="2092492" cy="58225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C7A2F40D-8875-EC10-18AE-82B16B9F5068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3E837695-C0CB-A44E-A426-CE27C6858F7C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8D440B74-D56A-F6F8-3587-5A7DA77D07D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ED4F2C9F-41DB-2312-B9EA-7766FBF904F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178002</xdr:colOff>
      <xdr:row>41</xdr:row>
      <xdr:rowOff>0</xdr:rowOff>
    </xdr:from>
    <xdr:to>
      <xdr:col>6</xdr:col>
      <xdr:colOff>524122</xdr:colOff>
      <xdr:row>42</xdr:row>
      <xdr:rowOff>168098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D27EC17-81E1-4D41-9BE1-0950046FE2AF}"/>
            </a:ext>
          </a:extLst>
        </xdr:cNvPr>
        <xdr:cNvSpPr/>
      </xdr:nvSpPr>
      <xdr:spPr>
        <a:xfrm>
          <a:off x="3054552" y="94583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7</xdr:col>
      <xdr:colOff>275825</xdr:colOff>
      <xdr:row>41</xdr:row>
      <xdr:rowOff>0</xdr:rowOff>
    </xdr:from>
    <xdr:to>
      <xdr:col>8</xdr:col>
      <xdr:colOff>620194</xdr:colOff>
      <xdr:row>42</xdr:row>
      <xdr:rowOff>168098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8D03507-81C6-4519-A0D4-D7CFD35CFBD9}"/>
            </a:ext>
          </a:extLst>
        </xdr:cNvPr>
        <xdr:cNvSpPr/>
      </xdr:nvSpPr>
      <xdr:spPr>
        <a:xfrm>
          <a:off x="4733525" y="94583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172085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6298BD4-C46B-474B-A15D-CC625E8006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373802</xdr:colOff>
      <xdr:row>44</xdr:row>
      <xdr:rowOff>55567</xdr:rowOff>
    </xdr:from>
    <xdr:to>
      <xdr:col>11</xdr:col>
      <xdr:colOff>0</xdr:colOff>
      <xdr:row>47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B9AD8-B81C-4B08-8084-0D0048047CBE}"/>
            </a:ext>
          </a:extLst>
        </xdr:cNvPr>
        <xdr:cNvGrpSpPr/>
      </xdr:nvGrpSpPr>
      <xdr:grpSpPr>
        <a:xfrm>
          <a:off x="6709965" y="9282970"/>
          <a:ext cx="1273975" cy="58225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1DC7B771-29D2-ACE4-4679-DF8A94E7C49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024AC578-0483-62BA-1B15-F43382888603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3B8E00E5-BD9D-62B7-B201-8CF68BE8D72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6EB95906-BFD7-58E9-6B10-DE58CD289653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44</xdr:row>
      <xdr:rowOff>59377</xdr:rowOff>
    </xdr:from>
    <xdr:to>
      <xdr:col>4</xdr:col>
      <xdr:colOff>416774</xdr:colOff>
      <xdr:row>47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ECCC03-FB65-4C3F-AD0B-E2A425F7D32D}"/>
            </a:ext>
          </a:extLst>
        </xdr:cNvPr>
        <xdr:cNvGrpSpPr/>
      </xdr:nvGrpSpPr>
      <xdr:grpSpPr>
        <a:xfrm>
          <a:off x="538328" y="9286780"/>
          <a:ext cx="2092492" cy="58225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D0AFFB64-BC49-050E-961A-F1F246BFA23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CEC66686-2BA4-60B2-5FBC-AD77CD29021F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8138A9BC-B4A5-A8AE-7F49-B2A426869E4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565A2FA1-ECA6-739E-34AA-FB74A626803F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178002</xdr:colOff>
      <xdr:row>45</xdr:row>
      <xdr:rowOff>0</xdr:rowOff>
    </xdr:from>
    <xdr:to>
      <xdr:col>6</xdr:col>
      <xdr:colOff>524122</xdr:colOff>
      <xdr:row>46</xdr:row>
      <xdr:rowOff>168098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8CF9FEC-10D0-40E4-8105-070D8DA55C79}"/>
            </a:ext>
          </a:extLst>
        </xdr:cNvPr>
        <xdr:cNvSpPr/>
      </xdr:nvSpPr>
      <xdr:spPr>
        <a:xfrm>
          <a:off x="3054552" y="94202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7</xdr:col>
      <xdr:colOff>275825</xdr:colOff>
      <xdr:row>45</xdr:row>
      <xdr:rowOff>0</xdr:rowOff>
    </xdr:from>
    <xdr:to>
      <xdr:col>8</xdr:col>
      <xdr:colOff>620194</xdr:colOff>
      <xdr:row>46</xdr:row>
      <xdr:rowOff>168098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34433A-28C3-47B4-B1EE-994723D4FB5C}"/>
            </a:ext>
          </a:extLst>
        </xdr:cNvPr>
        <xdr:cNvSpPr/>
      </xdr:nvSpPr>
      <xdr:spPr>
        <a:xfrm>
          <a:off x="4733525" y="94202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217805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948F81-91BA-4647-BCCF-1AD7C4E156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373802</xdr:colOff>
      <xdr:row>42</xdr:row>
      <xdr:rowOff>59377</xdr:rowOff>
    </xdr:from>
    <xdr:to>
      <xdr:col>12</xdr:col>
      <xdr:colOff>0</xdr:colOff>
      <xdr:row>45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2A6D3-3AE2-4220-8DF1-791DBA2E5726}"/>
            </a:ext>
          </a:extLst>
        </xdr:cNvPr>
        <xdr:cNvGrpSpPr/>
      </xdr:nvGrpSpPr>
      <xdr:grpSpPr>
        <a:xfrm>
          <a:off x="6709965" y="8858392"/>
          <a:ext cx="2104214" cy="58225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58141096-FA82-86F2-4851-C2FF94995E08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2AC4476A-0829-6E2C-CECA-C7DA1CC7B310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2B2D6A6A-C84D-44E0-0B36-E7D922AC69E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932236FD-D4BB-05D9-5E2E-F4C9473FD228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42</xdr:row>
      <xdr:rowOff>55567</xdr:rowOff>
    </xdr:from>
    <xdr:to>
      <xdr:col>4</xdr:col>
      <xdr:colOff>416774</xdr:colOff>
      <xdr:row>45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3DAEF9-BBBD-4D91-A399-CD955AE4F21A}"/>
            </a:ext>
          </a:extLst>
        </xdr:cNvPr>
        <xdr:cNvGrpSpPr/>
      </xdr:nvGrpSpPr>
      <xdr:grpSpPr>
        <a:xfrm>
          <a:off x="538328" y="8854582"/>
          <a:ext cx="2092492" cy="58225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5E14D2C1-F0F6-3E04-F3A2-13617D40D84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5418DDC5-9BAB-B1BF-9B20-607D4EDB9908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4615359C-694D-4FCD-64B0-4200B57F6D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84BC4512-8CB1-ACFC-CD91-77EF1B241303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178002</xdr:colOff>
      <xdr:row>43</xdr:row>
      <xdr:rowOff>0</xdr:rowOff>
    </xdr:from>
    <xdr:to>
      <xdr:col>6</xdr:col>
      <xdr:colOff>524122</xdr:colOff>
      <xdr:row>44</xdr:row>
      <xdr:rowOff>168098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409527E-7D71-4E54-8956-64659DB181D4}"/>
            </a:ext>
          </a:extLst>
        </xdr:cNvPr>
        <xdr:cNvSpPr/>
      </xdr:nvSpPr>
      <xdr:spPr>
        <a:xfrm>
          <a:off x="3054552" y="90392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7</xdr:col>
      <xdr:colOff>275825</xdr:colOff>
      <xdr:row>43</xdr:row>
      <xdr:rowOff>0</xdr:rowOff>
    </xdr:from>
    <xdr:to>
      <xdr:col>8</xdr:col>
      <xdr:colOff>620194</xdr:colOff>
      <xdr:row>44</xdr:row>
      <xdr:rowOff>168098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C8B657C-F2DC-45F4-91D9-18FA0A598930}"/>
            </a:ext>
          </a:extLst>
        </xdr:cNvPr>
        <xdr:cNvSpPr/>
      </xdr:nvSpPr>
      <xdr:spPr>
        <a:xfrm>
          <a:off x="4733525" y="90392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208280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5A85419-83A0-4047-A096-B549A3AC1A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373802</xdr:colOff>
      <xdr:row>44</xdr:row>
      <xdr:rowOff>55567</xdr:rowOff>
    </xdr:from>
    <xdr:to>
      <xdr:col>12</xdr:col>
      <xdr:colOff>0</xdr:colOff>
      <xdr:row>47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206519-0153-43CA-945C-231FADC4ADD9}"/>
            </a:ext>
          </a:extLst>
        </xdr:cNvPr>
        <xdr:cNvGrpSpPr/>
      </xdr:nvGrpSpPr>
      <xdr:grpSpPr>
        <a:xfrm>
          <a:off x="6709965" y="9472522"/>
          <a:ext cx="2104214" cy="582251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D9DB94C6-6FE0-0BC3-ABBD-6E79D049D0D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AF393BAD-08FD-3848-0416-FE51AB01A123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66EC74FF-0C9D-1929-0F9E-808CC94CFAE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F854AB28-A864-60C0-EB11-A54C3A56D0F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44</xdr:row>
      <xdr:rowOff>59377</xdr:rowOff>
    </xdr:from>
    <xdr:to>
      <xdr:col>4</xdr:col>
      <xdr:colOff>416774</xdr:colOff>
      <xdr:row>47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13465B-7247-4512-AAA9-2C12EC206862}"/>
            </a:ext>
          </a:extLst>
        </xdr:cNvPr>
        <xdr:cNvGrpSpPr/>
      </xdr:nvGrpSpPr>
      <xdr:grpSpPr>
        <a:xfrm>
          <a:off x="538328" y="9476332"/>
          <a:ext cx="2092492" cy="58225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C3B949C7-59C8-10BC-DF20-A54E88D2712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D9F87FB8-9C84-44D1-D09E-A012C61E80B0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45B04A37-5CD1-ED22-FF9C-005BEB84743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C425D7AC-0842-A812-485D-EDD9B2D974E1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178002</xdr:colOff>
      <xdr:row>45</xdr:row>
      <xdr:rowOff>0</xdr:rowOff>
    </xdr:from>
    <xdr:to>
      <xdr:col>6</xdr:col>
      <xdr:colOff>524122</xdr:colOff>
      <xdr:row>46</xdr:row>
      <xdr:rowOff>168098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9318B9D-A7AD-4333-B5CF-6B816311C93E}"/>
            </a:ext>
          </a:extLst>
        </xdr:cNvPr>
        <xdr:cNvSpPr/>
      </xdr:nvSpPr>
      <xdr:spPr>
        <a:xfrm>
          <a:off x="3054552" y="96583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7</xdr:col>
      <xdr:colOff>275825</xdr:colOff>
      <xdr:row>45</xdr:row>
      <xdr:rowOff>0</xdr:rowOff>
    </xdr:from>
    <xdr:to>
      <xdr:col>8</xdr:col>
      <xdr:colOff>620194</xdr:colOff>
      <xdr:row>46</xdr:row>
      <xdr:rowOff>168098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40E63AD-D31E-4DC1-8B56-A77BEFC33B54}"/>
            </a:ext>
          </a:extLst>
        </xdr:cNvPr>
        <xdr:cNvSpPr/>
      </xdr:nvSpPr>
      <xdr:spPr>
        <a:xfrm>
          <a:off x="4733525" y="96583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D4491F-ED94-4C10-B677-6E07848A2F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41</xdr:row>
      <xdr:rowOff>55567</xdr:rowOff>
    </xdr:from>
    <xdr:to>
      <xdr:col>10</xdr:col>
      <xdr:colOff>782175</xdr:colOff>
      <xdr:row>44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589FE-52C4-4A95-9D5A-C2909A1481B9}"/>
            </a:ext>
          </a:extLst>
        </xdr:cNvPr>
        <xdr:cNvGrpSpPr/>
      </xdr:nvGrpSpPr>
      <xdr:grpSpPr>
        <a:xfrm>
          <a:off x="5875636" y="8917731"/>
          <a:ext cx="2095191" cy="589573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8E1BDC1C-A7E2-16CC-4479-9958DDC4B6A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AA6C095F-11D3-35D1-519C-3DCD1166D0A0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DDC80F50-3D9A-1A2B-1EDF-5441312DD18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B80EBBCA-F66E-6F5D-DBC1-78752EE432C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41</xdr:row>
      <xdr:rowOff>55567</xdr:rowOff>
    </xdr:from>
    <xdr:to>
      <xdr:col>4</xdr:col>
      <xdr:colOff>416774</xdr:colOff>
      <xdr:row>44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860352-90C0-45D6-859F-DBD19D6D69B7}"/>
            </a:ext>
          </a:extLst>
        </xdr:cNvPr>
        <xdr:cNvGrpSpPr/>
      </xdr:nvGrpSpPr>
      <xdr:grpSpPr>
        <a:xfrm>
          <a:off x="535836" y="8917731"/>
          <a:ext cx="2095192" cy="589573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3C414560-0ED8-DBC8-F304-E82E1C34474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BCC423AB-7F0D-7881-26DB-534494DDF8C8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8AD50830-C1A7-3A48-7D24-43C1BAA5060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D7DFED52-1779-0D9B-6BCE-686BC4204627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346120</xdr:colOff>
      <xdr:row>43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097C65D-F5B3-430B-9CED-29EB18BDD8F1}"/>
            </a:ext>
          </a:extLst>
        </xdr:cNvPr>
        <xdr:cNvSpPr/>
      </xdr:nvSpPr>
      <xdr:spPr>
        <a:xfrm>
          <a:off x="2876550" y="93154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42</xdr:row>
      <xdr:rowOff>0</xdr:rowOff>
    </xdr:from>
    <xdr:to>
      <xdr:col>7</xdr:col>
      <xdr:colOff>785739</xdr:colOff>
      <xdr:row>43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ED386F5-5E91-42A8-B49F-1D2A9FDCE60F}"/>
            </a:ext>
          </a:extLst>
        </xdr:cNvPr>
        <xdr:cNvSpPr/>
      </xdr:nvSpPr>
      <xdr:spPr>
        <a:xfrm>
          <a:off x="4104685" y="93154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D94C2B5-B5DA-46D7-9EFC-1B753061AF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60</xdr:row>
      <xdr:rowOff>59377</xdr:rowOff>
    </xdr:from>
    <xdr:to>
      <xdr:col>10</xdr:col>
      <xdr:colOff>778365</xdr:colOff>
      <xdr:row>63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A0EC0-0696-4CE8-9B2D-380BD4FAD22D}"/>
            </a:ext>
          </a:extLst>
        </xdr:cNvPr>
        <xdr:cNvGrpSpPr/>
      </xdr:nvGrpSpPr>
      <xdr:grpSpPr>
        <a:xfrm>
          <a:off x="5867516" y="12960302"/>
          <a:ext cx="2092490" cy="582251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52D2A5FA-5795-D913-7FD6-89EC320DF7A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5651B258-5D65-2BFD-118D-0A9FDAAE1951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4F4A06E7-2AFD-BC00-6E05-FFB27FFE55E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E10AC311-DBC2-8957-BD15-AEC29E00636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60</xdr:row>
      <xdr:rowOff>59377</xdr:rowOff>
    </xdr:from>
    <xdr:to>
      <xdr:col>4</xdr:col>
      <xdr:colOff>416774</xdr:colOff>
      <xdr:row>63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17E629-7FA6-4A89-A2A1-6FAF29607CA6}"/>
            </a:ext>
          </a:extLst>
        </xdr:cNvPr>
        <xdr:cNvGrpSpPr/>
      </xdr:nvGrpSpPr>
      <xdr:grpSpPr>
        <a:xfrm>
          <a:off x="538328" y="12960302"/>
          <a:ext cx="2092492" cy="58225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68A694A6-432B-40DD-0464-7A32B862BDF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0F834863-F0C5-061C-B17F-0CA3DE411EA7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99BF62A7-C151-CF0D-A532-1E2248EEEC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714D568F-FC72-4610-0BE5-990E9F66EF4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61</xdr:row>
      <xdr:rowOff>0</xdr:rowOff>
    </xdr:from>
    <xdr:to>
      <xdr:col>6</xdr:col>
      <xdr:colOff>346120</xdr:colOff>
      <xdr:row>62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F61233B-9C48-46CF-A7E5-F373586C747B}"/>
            </a:ext>
          </a:extLst>
        </xdr:cNvPr>
        <xdr:cNvSpPr/>
      </xdr:nvSpPr>
      <xdr:spPr>
        <a:xfrm>
          <a:off x="2876550" y="90106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61</xdr:row>
      <xdr:rowOff>0</xdr:rowOff>
    </xdr:from>
    <xdr:to>
      <xdr:col>7</xdr:col>
      <xdr:colOff>785739</xdr:colOff>
      <xdr:row>62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BB87791-D205-4AEA-9AA9-4D6F3C5A3504}"/>
            </a:ext>
          </a:extLst>
        </xdr:cNvPr>
        <xdr:cNvSpPr/>
      </xdr:nvSpPr>
      <xdr:spPr>
        <a:xfrm>
          <a:off x="4104685" y="90106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6E4E3F3-4AC2-4D73-8408-7C3337B8D4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46</xdr:row>
      <xdr:rowOff>55567</xdr:rowOff>
    </xdr:from>
    <xdr:to>
      <xdr:col>10</xdr:col>
      <xdr:colOff>782175</xdr:colOff>
      <xdr:row>49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3B089-65DA-4C4C-966E-965C30DC4152}"/>
            </a:ext>
          </a:extLst>
        </xdr:cNvPr>
        <xdr:cNvGrpSpPr/>
      </xdr:nvGrpSpPr>
      <xdr:grpSpPr>
        <a:xfrm>
          <a:off x="5871326" y="9411866"/>
          <a:ext cx="2092490" cy="58225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3A0C77C0-A9FD-C682-C33D-3A17266D2B93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BACF0AB2-F4D5-1BA8-F2FD-0E653FC2DBCC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867EBDDB-7780-83B2-632E-9EC560C44F2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24848FF9-0014-AF5C-0E8B-9FDFD271EC43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46</xdr:row>
      <xdr:rowOff>55567</xdr:rowOff>
    </xdr:from>
    <xdr:to>
      <xdr:col>4</xdr:col>
      <xdr:colOff>416774</xdr:colOff>
      <xdr:row>49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F9A720-975F-4ECB-B588-4D52081D0AD2}"/>
            </a:ext>
          </a:extLst>
        </xdr:cNvPr>
        <xdr:cNvGrpSpPr/>
      </xdr:nvGrpSpPr>
      <xdr:grpSpPr>
        <a:xfrm>
          <a:off x="538328" y="9411866"/>
          <a:ext cx="2092492" cy="58225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032CEEE8-D36D-F632-3489-AB42B4EACA50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7962A4E7-F39B-00D9-361D-B4B3AD52F685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AA5333F6-66D7-9099-0273-0142EB09226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CE1AA8EA-7976-D597-DDB9-880D43F271A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47</xdr:row>
      <xdr:rowOff>0</xdr:rowOff>
    </xdr:from>
    <xdr:to>
      <xdr:col>6</xdr:col>
      <xdr:colOff>346120</xdr:colOff>
      <xdr:row>48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C67967C-E3A4-4174-ABB5-7E3FB08BB5C0}"/>
            </a:ext>
          </a:extLst>
        </xdr:cNvPr>
        <xdr:cNvSpPr/>
      </xdr:nvSpPr>
      <xdr:spPr>
        <a:xfrm>
          <a:off x="2876550" y="130873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47</xdr:row>
      <xdr:rowOff>0</xdr:rowOff>
    </xdr:from>
    <xdr:to>
      <xdr:col>7</xdr:col>
      <xdr:colOff>785739</xdr:colOff>
      <xdr:row>48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D4EE01-8A25-4B4B-8AB6-10E7CDFF5434}"/>
            </a:ext>
          </a:extLst>
        </xdr:cNvPr>
        <xdr:cNvSpPr/>
      </xdr:nvSpPr>
      <xdr:spPr>
        <a:xfrm>
          <a:off x="4104685" y="130873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183629</xdr:colOff>
      <xdr:row>1</xdr:row>
      <xdr:rowOff>83396</xdr:rowOff>
    </xdr:from>
    <xdr:to>
      <xdr:col>4</xdr:col>
      <xdr:colOff>435633</xdr:colOff>
      <xdr:row>5</xdr:row>
      <xdr:rowOff>210626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94698A-8839-4D5B-8203-FDA1E57692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60720" y="256578"/>
          <a:ext cx="2157004" cy="923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1994</xdr:colOff>
      <xdr:row>39</xdr:row>
      <xdr:rowOff>62365</xdr:rowOff>
    </xdr:from>
    <xdr:to>
      <xdr:col>4</xdr:col>
      <xdr:colOff>515605</xdr:colOff>
      <xdr:row>42</xdr:row>
      <xdr:rowOff>90950</xdr:rowOff>
    </xdr:to>
    <xdr:grpSp>
      <xdr:nvGrpSpPr>
        <xdr:cNvPr id="8" name="Group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63F41-AE59-4A58-95CD-072384ED70C2}"/>
            </a:ext>
          </a:extLst>
        </xdr:cNvPr>
        <xdr:cNvGrpSpPr/>
      </xdr:nvGrpSpPr>
      <xdr:grpSpPr>
        <a:xfrm>
          <a:off x="537830" y="8736639"/>
          <a:ext cx="2197109" cy="581818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A55C6E5E-36C8-A8A8-FDB2-295CF736099D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2D08154-CF6C-8E16-0952-E0B789E25325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DD38ECA1-0518-9C44-80F6-2EFA60E893B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FA7E0F25-39B7-BBB7-C294-79EEF463BA31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8</xdr:col>
      <xdr:colOff>365402</xdr:colOff>
      <xdr:row>39</xdr:row>
      <xdr:rowOff>65155</xdr:rowOff>
    </xdr:from>
    <xdr:to>
      <xdr:col>10</xdr:col>
      <xdr:colOff>782175</xdr:colOff>
      <xdr:row>42</xdr:row>
      <xdr:rowOff>88160</xdr:rowOff>
    </xdr:to>
    <xdr:grpSp>
      <xdr:nvGrpSpPr>
        <xdr:cNvPr id="13" name="Group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95811B-87B4-43CE-9EB3-AEFD91B09934}"/>
            </a:ext>
          </a:extLst>
        </xdr:cNvPr>
        <xdr:cNvGrpSpPr/>
      </xdr:nvGrpSpPr>
      <xdr:grpSpPr>
        <a:xfrm>
          <a:off x="5833883" y="8739429"/>
          <a:ext cx="2095191" cy="576238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22D79F37-D802-CED7-2249-47BDF7818593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6813512C-5B27-D358-F26E-77E9738FF511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0C438A6F-C9CB-6C7F-F076-63E9CA74021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096C9EC7-ED86-8293-B570-C4A5BF9A6AB9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5</xdr:col>
      <xdr:colOff>207957</xdr:colOff>
      <xdr:row>39</xdr:row>
      <xdr:rowOff>59104</xdr:rowOff>
    </xdr:from>
    <xdr:to>
      <xdr:col>7</xdr:col>
      <xdr:colOff>665429</xdr:colOff>
      <xdr:row>42</xdr:row>
      <xdr:rowOff>94210</xdr:rowOff>
    </xdr:to>
    <xdr:grpSp>
      <xdr:nvGrpSpPr>
        <xdr:cNvPr id="34" name="Groupe 3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6E68E-C26B-44DD-B140-9538D3D8DBB6}"/>
            </a:ext>
          </a:extLst>
        </xdr:cNvPr>
        <xdr:cNvGrpSpPr/>
      </xdr:nvGrpSpPr>
      <xdr:grpSpPr>
        <a:xfrm>
          <a:off x="3218344" y="8733378"/>
          <a:ext cx="2096677" cy="588339"/>
          <a:chOff x="179947" y="1266468"/>
          <a:chExt cx="1982997" cy="574848"/>
        </a:xfrm>
      </xdr:grpSpPr>
      <xdr:sp macro="" textlink="">
        <xdr:nvSpPr>
          <xdr:cNvPr id="35" name="Rectangle : coins arrondis 34">
            <a:extLst>
              <a:ext uri="{FF2B5EF4-FFF2-40B4-BE49-F238E27FC236}">
                <a16:creationId xmlns:a16="http://schemas.microsoft.com/office/drawing/2014/main" id="{5E99FFAF-3BF8-F7E2-0AD9-2A84AB41657D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36" name="Groupe 35">
            <a:extLst>
              <a:ext uri="{FF2B5EF4-FFF2-40B4-BE49-F238E27FC236}">
                <a16:creationId xmlns:a16="http://schemas.microsoft.com/office/drawing/2014/main" id="{B22E386F-A124-1F03-31BA-EA452A99A416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37" name="Graphique 36" descr="Logement avec un remplissage uni">
              <a:extLst>
                <a:ext uri="{FF2B5EF4-FFF2-40B4-BE49-F238E27FC236}">
                  <a16:creationId xmlns:a16="http://schemas.microsoft.com/office/drawing/2014/main" id="{4175DDD6-3B88-8BF8-83C6-CE7BE52DA17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38" name="ZoneTexte 37">
              <a:extLst>
                <a:ext uri="{FF2B5EF4-FFF2-40B4-BE49-F238E27FC236}">
                  <a16:creationId xmlns:a16="http://schemas.microsoft.com/office/drawing/2014/main" id="{36FC9574-B285-24FF-504D-52D86293438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7E96D25-E934-48D5-A8B6-B2296B8EC0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53</xdr:row>
      <xdr:rowOff>59377</xdr:rowOff>
    </xdr:from>
    <xdr:to>
      <xdr:col>10</xdr:col>
      <xdr:colOff>778365</xdr:colOff>
      <xdr:row>56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9601E-625D-4CB1-8209-F018768AFAC0}"/>
            </a:ext>
          </a:extLst>
        </xdr:cNvPr>
        <xdr:cNvGrpSpPr/>
      </xdr:nvGrpSpPr>
      <xdr:grpSpPr>
        <a:xfrm>
          <a:off x="5867516" y="10769078"/>
          <a:ext cx="2092490" cy="582251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C98BC9A8-C782-F373-A5D3-B3C38D1C8E1F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CDDB7D81-5E73-7FED-1031-1340CCDAAE88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A9D90539-9631-81FF-9F4E-A1C8B3A9D31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0A43F857-5F3D-589C-7700-18AE31095AB5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53</xdr:row>
      <xdr:rowOff>59377</xdr:rowOff>
    </xdr:from>
    <xdr:to>
      <xdr:col>4</xdr:col>
      <xdr:colOff>416774</xdr:colOff>
      <xdr:row>56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A6087D-6F39-46EA-89C5-885661C5112E}"/>
            </a:ext>
          </a:extLst>
        </xdr:cNvPr>
        <xdr:cNvGrpSpPr/>
      </xdr:nvGrpSpPr>
      <xdr:grpSpPr>
        <a:xfrm>
          <a:off x="538328" y="10769078"/>
          <a:ext cx="2092492" cy="58225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B3F4CF05-4604-AB3F-048E-4D0FB0306A2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C84973C0-57FA-8B3A-24A9-A826FFA3804C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F7A54AAF-14FF-04EF-97C2-710DD6C0099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C582236A-9EAC-5DC2-C828-D93C520DBEB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54</xdr:row>
      <xdr:rowOff>0</xdr:rowOff>
    </xdr:from>
    <xdr:to>
      <xdr:col>6</xdr:col>
      <xdr:colOff>346120</xdr:colOff>
      <xdr:row>55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5BDA22-6EB3-4579-8A4F-94867B354EB3}"/>
            </a:ext>
          </a:extLst>
        </xdr:cNvPr>
        <xdr:cNvSpPr/>
      </xdr:nvSpPr>
      <xdr:spPr>
        <a:xfrm>
          <a:off x="2876550" y="994410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54</xdr:row>
      <xdr:rowOff>0</xdr:rowOff>
    </xdr:from>
    <xdr:to>
      <xdr:col>7</xdr:col>
      <xdr:colOff>785739</xdr:colOff>
      <xdr:row>55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30A14C0-5BB1-49CC-8A9E-CE5861D5968F}"/>
            </a:ext>
          </a:extLst>
        </xdr:cNvPr>
        <xdr:cNvSpPr/>
      </xdr:nvSpPr>
      <xdr:spPr>
        <a:xfrm>
          <a:off x="4104685" y="994410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EE9DA3-CA25-4EEA-84C8-3D8FF29276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30</xdr:row>
      <xdr:rowOff>55567</xdr:rowOff>
    </xdr:from>
    <xdr:to>
      <xdr:col>10</xdr:col>
      <xdr:colOff>782175</xdr:colOff>
      <xdr:row>33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BCAF7-51D2-44E2-A70E-FEAF22F1A274}"/>
            </a:ext>
          </a:extLst>
        </xdr:cNvPr>
        <xdr:cNvGrpSpPr/>
      </xdr:nvGrpSpPr>
      <xdr:grpSpPr>
        <a:xfrm>
          <a:off x="5871326" y="6360074"/>
          <a:ext cx="2092490" cy="582251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E92C6BB8-F0D6-3E1E-7B4D-C39593A2AAA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CE56ABE-CF3F-F53B-F099-BCEB523D0896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E5576EB6-EC6D-61B3-FF45-BAB46FA1C2D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3FAD612E-5290-F782-C290-D57BF7A43F3C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30</xdr:row>
      <xdr:rowOff>55567</xdr:rowOff>
    </xdr:from>
    <xdr:to>
      <xdr:col>4</xdr:col>
      <xdr:colOff>416774</xdr:colOff>
      <xdr:row>33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A8BF79-7862-4714-BEE1-55D12CFD5D91}"/>
            </a:ext>
          </a:extLst>
        </xdr:cNvPr>
        <xdr:cNvGrpSpPr/>
      </xdr:nvGrpSpPr>
      <xdr:grpSpPr>
        <a:xfrm>
          <a:off x="538328" y="6360074"/>
          <a:ext cx="2092492" cy="58225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3566D414-4012-22B4-256D-2EDBFD9363FC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23198D5-8542-06D4-EB7F-AB9CCFAAE051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58DC6FD1-EA87-EBD4-B212-84BB2A4D6AD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4DB0438D-7BAE-F0F4-5C55-8EDDA446A74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31</xdr:row>
      <xdr:rowOff>0</xdr:rowOff>
    </xdr:from>
    <xdr:to>
      <xdr:col>6</xdr:col>
      <xdr:colOff>346120</xdr:colOff>
      <xdr:row>32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C2E9597-E45B-4442-8298-10EF7B8C4947}"/>
            </a:ext>
          </a:extLst>
        </xdr:cNvPr>
        <xdr:cNvSpPr/>
      </xdr:nvSpPr>
      <xdr:spPr>
        <a:xfrm>
          <a:off x="2876550" y="109156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31</xdr:row>
      <xdr:rowOff>0</xdr:rowOff>
    </xdr:from>
    <xdr:to>
      <xdr:col>7</xdr:col>
      <xdr:colOff>785739</xdr:colOff>
      <xdr:row>32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FE8599-537B-4459-9742-B96042934DC8}"/>
            </a:ext>
          </a:extLst>
        </xdr:cNvPr>
        <xdr:cNvSpPr/>
      </xdr:nvSpPr>
      <xdr:spPr>
        <a:xfrm>
          <a:off x="4104685" y="109156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F13FED1-0480-4293-BD1C-99B4F6210B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29</xdr:row>
      <xdr:rowOff>59377</xdr:rowOff>
    </xdr:from>
    <xdr:to>
      <xdr:col>10</xdr:col>
      <xdr:colOff>778365</xdr:colOff>
      <xdr:row>32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E15BE-CFBC-4F30-B570-E8DEED009596}"/>
            </a:ext>
          </a:extLst>
        </xdr:cNvPr>
        <xdr:cNvGrpSpPr/>
      </xdr:nvGrpSpPr>
      <xdr:grpSpPr>
        <a:xfrm>
          <a:off x="5867516" y="5890004"/>
          <a:ext cx="2092490" cy="58225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EC7101E7-C4DD-E3B1-855D-47953BACE85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08D1A49F-7E6E-DDB8-B0E5-1B74A667D99A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BC79DA3A-2A7A-C2D7-A471-4A501471E03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7A1F9917-4F28-6EED-27EB-DCC620D5969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29</xdr:row>
      <xdr:rowOff>59377</xdr:rowOff>
    </xdr:from>
    <xdr:to>
      <xdr:col>4</xdr:col>
      <xdr:colOff>416774</xdr:colOff>
      <xdr:row>32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350699-C190-4EC7-8610-88B590B8C9D5}"/>
            </a:ext>
          </a:extLst>
        </xdr:cNvPr>
        <xdr:cNvGrpSpPr/>
      </xdr:nvGrpSpPr>
      <xdr:grpSpPr>
        <a:xfrm>
          <a:off x="538328" y="5890004"/>
          <a:ext cx="2092492" cy="58225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C0777E34-2B8C-8E02-D297-2E4080E9A683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935822D-9C88-D491-89D4-FC42A48C4B11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63DE761D-FF1F-4208-3CD1-671D8D5E918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858E0155-78B8-0D45-7E79-48BFCF4A92D8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30</xdr:row>
      <xdr:rowOff>0</xdr:rowOff>
    </xdr:from>
    <xdr:to>
      <xdr:col>6</xdr:col>
      <xdr:colOff>346120</xdr:colOff>
      <xdr:row>31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A4A02BB-F4AA-4B71-A42D-33E70589C8D4}"/>
            </a:ext>
          </a:extLst>
        </xdr:cNvPr>
        <xdr:cNvSpPr/>
      </xdr:nvSpPr>
      <xdr:spPr>
        <a:xfrm>
          <a:off x="2876550" y="64865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30</xdr:row>
      <xdr:rowOff>0</xdr:rowOff>
    </xdr:from>
    <xdr:to>
      <xdr:col>7</xdr:col>
      <xdr:colOff>785739</xdr:colOff>
      <xdr:row>31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57CE620-39FE-432A-8F10-7EED746255D8}"/>
            </a:ext>
          </a:extLst>
        </xdr:cNvPr>
        <xdr:cNvSpPr/>
      </xdr:nvSpPr>
      <xdr:spPr>
        <a:xfrm>
          <a:off x="4104685" y="64865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321ACC-3EC4-4AA0-B263-9881557082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45</xdr:row>
      <xdr:rowOff>55567</xdr:rowOff>
    </xdr:from>
    <xdr:to>
      <xdr:col>10</xdr:col>
      <xdr:colOff>782175</xdr:colOff>
      <xdr:row>48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5E4E6-8EA3-46C7-A0A1-1079796DB229}"/>
            </a:ext>
          </a:extLst>
        </xdr:cNvPr>
        <xdr:cNvGrpSpPr/>
      </xdr:nvGrpSpPr>
      <xdr:grpSpPr>
        <a:xfrm>
          <a:off x="5871326" y="9544552"/>
          <a:ext cx="2092490" cy="582251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BF3FB020-2386-9735-C185-4C749C28705D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72D3370-959D-41B5-3CC6-50B19762FC6D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3B321F40-8B3F-515A-C4F0-339536DA3E1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21AC6587-649C-37EA-08DC-C001528B8466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45</xdr:row>
      <xdr:rowOff>55567</xdr:rowOff>
    </xdr:from>
    <xdr:to>
      <xdr:col>4</xdr:col>
      <xdr:colOff>416774</xdr:colOff>
      <xdr:row>48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CDCB32-3E8A-434F-BDAD-84C08497CA84}"/>
            </a:ext>
          </a:extLst>
        </xdr:cNvPr>
        <xdr:cNvGrpSpPr/>
      </xdr:nvGrpSpPr>
      <xdr:grpSpPr>
        <a:xfrm>
          <a:off x="538328" y="9544552"/>
          <a:ext cx="2092492" cy="58225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410410E6-49E4-2241-E657-912A59AE47C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911A1726-C1E6-3CCD-9504-6970749C1673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A6750E14-971F-9269-1603-1F848AACDF4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B25CACF6-6E69-333E-7215-32C4AD44F58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46</xdr:row>
      <xdr:rowOff>0</xdr:rowOff>
    </xdr:from>
    <xdr:to>
      <xdr:col>6</xdr:col>
      <xdr:colOff>346120</xdr:colOff>
      <xdr:row>47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9143F14-0A46-488C-BC4D-9AEADDC1DA32}"/>
            </a:ext>
          </a:extLst>
        </xdr:cNvPr>
        <xdr:cNvSpPr/>
      </xdr:nvSpPr>
      <xdr:spPr>
        <a:xfrm>
          <a:off x="2876550" y="130873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46</xdr:row>
      <xdr:rowOff>0</xdr:rowOff>
    </xdr:from>
    <xdr:to>
      <xdr:col>7</xdr:col>
      <xdr:colOff>785739</xdr:colOff>
      <xdr:row>47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4734A3-7BAC-4C08-821D-5E551BA0B85E}"/>
            </a:ext>
          </a:extLst>
        </xdr:cNvPr>
        <xdr:cNvSpPr/>
      </xdr:nvSpPr>
      <xdr:spPr>
        <a:xfrm>
          <a:off x="4104685" y="130873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66A90C-90E8-4043-8FE6-89FE8E739A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19</xdr:row>
      <xdr:rowOff>55567</xdr:rowOff>
    </xdr:from>
    <xdr:to>
      <xdr:col>10</xdr:col>
      <xdr:colOff>782175</xdr:colOff>
      <xdr:row>22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83BE6-89CF-4F9F-8FCF-5BC50FDAA61F}"/>
            </a:ext>
          </a:extLst>
        </xdr:cNvPr>
        <xdr:cNvGrpSpPr/>
      </xdr:nvGrpSpPr>
      <xdr:grpSpPr>
        <a:xfrm>
          <a:off x="5871326" y="3933806"/>
          <a:ext cx="2092490" cy="58225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1BC65258-DCB5-4CE0-EC60-EA10364CE40D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EFE0EDDB-2917-374A-5B44-0E85199AC121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06B3A632-DA1B-5BF3-F15C-478C19D0846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67983BA6-2DF8-DF5C-9533-47DD4AE5AD51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19</xdr:row>
      <xdr:rowOff>55567</xdr:rowOff>
    </xdr:from>
    <xdr:to>
      <xdr:col>4</xdr:col>
      <xdr:colOff>416774</xdr:colOff>
      <xdr:row>22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E9E70F-DCA6-4A6F-B560-68A596A2F391}"/>
            </a:ext>
          </a:extLst>
        </xdr:cNvPr>
        <xdr:cNvGrpSpPr/>
      </xdr:nvGrpSpPr>
      <xdr:grpSpPr>
        <a:xfrm>
          <a:off x="538328" y="3933806"/>
          <a:ext cx="2092492" cy="58225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34DE0AAC-5584-6782-6DF5-A09E284A74C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30B56C74-7FB1-5F32-D7BC-4FDF750D72C0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D3978FA6-429F-9B4A-E254-F1A894F6DD2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B80C82BD-01FE-3B14-B8A4-D0CD8D453F9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20</xdr:row>
      <xdr:rowOff>0</xdr:rowOff>
    </xdr:from>
    <xdr:to>
      <xdr:col>6</xdr:col>
      <xdr:colOff>346120</xdr:colOff>
      <xdr:row>21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48499FB-FC0C-4CEC-9E91-EA56284BF587}"/>
            </a:ext>
          </a:extLst>
        </xdr:cNvPr>
        <xdr:cNvSpPr/>
      </xdr:nvSpPr>
      <xdr:spPr>
        <a:xfrm>
          <a:off x="2876550" y="601027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20</xdr:row>
      <xdr:rowOff>0</xdr:rowOff>
    </xdr:from>
    <xdr:to>
      <xdr:col>7</xdr:col>
      <xdr:colOff>785739</xdr:colOff>
      <xdr:row>21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5D1428-4B47-49D8-ACAF-149553B4C439}"/>
            </a:ext>
          </a:extLst>
        </xdr:cNvPr>
        <xdr:cNvSpPr/>
      </xdr:nvSpPr>
      <xdr:spPr>
        <a:xfrm>
          <a:off x="4104685" y="601027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172085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EEA7CD-D037-4999-A72F-690D4A53F9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373802</xdr:colOff>
      <xdr:row>63</xdr:row>
      <xdr:rowOff>55567</xdr:rowOff>
    </xdr:from>
    <xdr:to>
      <xdr:col>13</xdr:col>
      <xdr:colOff>0</xdr:colOff>
      <xdr:row>66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4329A-394C-4640-9805-F343E08A5A8D}"/>
            </a:ext>
          </a:extLst>
        </xdr:cNvPr>
        <xdr:cNvGrpSpPr/>
      </xdr:nvGrpSpPr>
      <xdr:grpSpPr>
        <a:xfrm>
          <a:off x="7531813" y="13950616"/>
          <a:ext cx="2099367" cy="58598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6FF660DE-026C-3D0D-32C8-8974E78B6891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A5C9E28-9EB7-3461-A023-579041A5E428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63A2ED73-E0D5-2503-6534-D1BD1522F2F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5AAFA22C-A1F5-73D3-B6A2-5A7632673098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63</xdr:row>
      <xdr:rowOff>59377</xdr:rowOff>
    </xdr:from>
    <xdr:to>
      <xdr:col>4</xdr:col>
      <xdr:colOff>416774</xdr:colOff>
      <xdr:row>66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444766-DABD-474E-9A92-7938888D6078}"/>
            </a:ext>
          </a:extLst>
        </xdr:cNvPr>
        <xdr:cNvGrpSpPr/>
      </xdr:nvGrpSpPr>
      <xdr:grpSpPr>
        <a:xfrm>
          <a:off x="541311" y="13954426"/>
          <a:ext cx="2089260" cy="58598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6517E1DB-15DD-FABA-A8BB-C0E8283E1DD9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8B3C9CD4-E86E-F9C9-7CAF-EDB24601DB6F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92FE2C49-3CCF-3898-A38D-6D8F83435F4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8A732DFB-98C8-BC75-62CC-777B676A8A02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441527</xdr:colOff>
      <xdr:row>64</xdr:row>
      <xdr:rowOff>0</xdr:rowOff>
    </xdr:from>
    <xdr:to>
      <xdr:col>6</xdr:col>
      <xdr:colOff>787647</xdr:colOff>
      <xdr:row>65</xdr:row>
      <xdr:rowOff>168098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75E6E1A-B441-4138-9B9B-381F3FCC6762}"/>
            </a:ext>
          </a:extLst>
        </xdr:cNvPr>
        <xdr:cNvSpPr/>
      </xdr:nvSpPr>
      <xdr:spPr>
        <a:xfrm>
          <a:off x="3318077" y="140303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8</xdr:col>
      <xdr:colOff>12300</xdr:colOff>
      <xdr:row>64</xdr:row>
      <xdr:rowOff>0</xdr:rowOff>
    </xdr:from>
    <xdr:to>
      <xdr:col>9</xdr:col>
      <xdr:colOff>356669</xdr:colOff>
      <xdr:row>65</xdr:row>
      <xdr:rowOff>168098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190DC99-FB4C-4381-BE46-62CCF717F789}"/>
            </a:ext>
          </a:extLst>
        </xdr:cNvPr>
        <xdr:cNvSpPr/>
      </xdr:nvSpPr>
      <xdr:spPr>
        <a:xfrm>
          <a:off x="5260575" y="140303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4B111C-85D2-4E73-A72E-A4945251C1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65</xdr:row>
      <xdr:rowOff>55567</xdr:rowOff>
    </xdr:from>
    <xdr:to>
      <xdr:col>10</xdr:col>
      <xdr:colOff>782175</xdr:colOff>
      <xdr:row>68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E2632-04BD-4169-AF8F-9E1CD44F6C57}"/>
            </a:ext>
          </a:extLst>
        </xdr:cNvPr>
        <xdr:cNvGrpSpPr/>
      </xdr:nvGrpSpPr>
      <xdr:grpSpPr>
        <a:xfrm>
          <a:off x="5870852" y="13676317"/>
          <a:ext cx="2090951" cy="584028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46DB42C5-DF0C-4715-2F12-63C46D7ED8D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165A948F-3B45-C458-D1F8-C16B6B202CB0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933472BF-60EA-76C0-F8DC-F3819B1FAC1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46AB031C-1AC1-AD57-A049-7F106D481AE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65</xdr:row>
      <xdr:rowOff>55567</xdr:rowOff>
    </xdr:from>
    <xdr:to>
      <xdr:col>4</xdr:col>
      <xdr:colOff>416774</xdr:colOff>
      <xdr:row>68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B67B36-84E9-4FBB-A8B2-D9A54951A1C6}"/>
            </a:ext>
          </a:extLst>
        </xdr:cNvPr>
        <xdr:cNvGrpSpPr/>
      </xdr:nvGrpSpPr>
      <xdr:grpSpPr>
        <a:xfrm>
          <a:off x="539750" y="13676317"/>
          <a:ext cx="2090952" cy="584028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B85821C8-68C3-5F29-CC0A-C22BC6C0ECDF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EF891B6-DA92-D332-3FD9-EFC846AA4B7C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C590BADE-C378-32A4-76FD-AE8E648D9B7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61687E5B-317C-0EAE-CE20-53346F55203C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346120</xdr:colOff>
      <xdr:row>67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92998ED-F944-468E-A51A-ACB021909DFF}"/>
            </a:ext>
          </a:extLst>
        </xdr:cNvPr>
        <xdr:cNvSpPr/>
      </xdr:nvSpPr>
      <xdr:spPr>
        <a:xfrm>
          <a:off x="2876550" y="135826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66</xdr:row>
      <xdr:rowOff>0</xdr:rowOff>
    </xdr:from>
    <xdr:to>
      <xdr:col>7</xdr:col>
      <xdr:colOff>785739</xdr:colOff>
      <xdr:row>67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03165D2-A755-4385-B8D7-29AA748542C8}"/>
            </a:ext>
          </a:extLst>
        </xdr:cNvPr>
        <xdr:cNvSpPr/>
      </xdr:nvSpPr>
      <xdr:spPr>
        <a:xfrm>
          <a:off x="4104685" y="135826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2BB3270-F466-45DF-9BBA-DB7D19408B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61</xdr:row>
      <xdr:rowOff>59377</xdr:rowOff>
    </xdr:from>
    <xdr:to>
      <xdr:col>10</xdr:col>
      <xdr:colOff>778365</xdr:colOff>
      <xdr:row>64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9A3F9-F298-4376-9B62-76A5C06F8FEB}"/>
            </a:ext>
          </a:extLst>
        </xdr:cNvPr>
        <xdr:cNvGrpSpPr/>
      </xdr:nvGrpSpPr>
      <xdr:grpSpPr>
        <a:xfrm>
          <a:off x="5867042" y="12513315"/>
          <a:ext cx="2090951" cy="584027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83193A37-10CF-8DE3-088C-95E23382FCC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E0DF7206-603C-60ED-E9EC-735CFD84390E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DD8F18B0-9504-A6E0-7C19-0B41F715511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D73D39BA-F98D-1DD9-E00A-3B725E42E0E8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61</xdr:row>
      <xdr:rowOff>59377</xdr:rowOff>
    </xdr:from>
    <xdr:to>
      <xdr:col>4</xdr:col>
      <xdr:colOff>416774</xdr:colOff>
      <xdr:row>64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310471-E6FD-44EA-BA52-F4207FA710CF}"/>
            </a:ext>
          </a:extLst>
        </xdr:cNvPr>
        <xdr:cNvGrpSpPr/>
      </xdr:nvGrpSpPr>
      <xdr:grpSpPr>
        <a:xfrm>
          <a:off x="539750" y="12513315"/>
          <a:ext cx="2090952" cy="584027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2293AA2C-0CD2-AFF2-5036-29A0E27858D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ABFC0FBE-CDEB-CAF3-D3E6-E05D9EFBF644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8C33FC44-F3BA-8BFE-A312-0A9D43CD5E6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37CF3D44-D054-B4F0-719C-CDE2C292EA6C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62</xdr:row>
      <xdr:rowOff>0</xdr:rowOff>
    </xdr:from>
    <xdr:to>
      <xdr:col>6</xdr:col>
      <xdr:colOff>346120</xdr:colOff>
      <xdr:row>63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FE4D919-6137-4C94-9268-EB711B99B68C}"/>
            </a:ext>
          </a:extLst>
        </xdr:cNvPr>
        <xdr:cNvSpPr/>
      </xdr:nvSpPr>
      <xdr:spPr>
        <a:xfrm>
          <a:off x="2876550" y="137350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62</xdr:row>
      <xdr:rowOff>0</xdr:rowOff>
    </xdr:from>
    <xdr:to>
      <xdr:col>7</xdr:col>
      <xdr:colOff>785739</xdr:colOff>
      <xdr:row>63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85B2967-5142-4537-A482-C6ABC43BC867}"/>
            </a:ext>
          </a:extLst>
        </xdr:cNvPr>
        <xdr:cNvSpPr/>
      </xdr:nvSpPr>
      <xdr:spPr>
        <a:xfrm>
          <a:off x="4104685" y="137350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869EDF-BC7C-43C0-9943-05B8BB3B06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42</xdr:row>
      <xdr:rowOff>55567</xdr:rowOff>
    </xdr:from>
    <xdr:to>
      <xdr:col>10</xdr:col>
      <xdr:colOff>782175</xdr:colOff>
      <xdr:row>45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8DA0E-1434-4E99-B7D7-DBF5B99B50B1}"/>
            </a:ext>
          </a:extLst>
        </xdr:cNvPr>
        <xdr:cNvGrpSpPr/>
      </xdr:nvGrpSpPr>
      <xdr:grpSpPr>
        <a:xfrm>
          <a:off x="5870852" y="8501067"/>
          <a:ext cx="2090951" cy="584028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1D579F9C-E4B0-3EF7-CF42-BA629A0D90CF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9EA8AD35-27E4-FFB4-16C1-CDBD3CF83E72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40C4BD50-086B-BCA3-6696-A15AEB7D9D2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E901EE0C-0592-8641-6DF8-B5443BE2A7D1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42</xdr:row>
      <xdr:rowOff>55567</xdr:rowOff>
    </xdr:from>
    <xdr:to>
      <xdr:col>4</xdr:col>
      <xdr:colOff>416774</xdr:colOff>
      <xdr:row>45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43EF3A-DA75-4902-B4E1-D5607557D372}"/>
            </a:ext>
          </a:extLst>
        </xdr:cNvPr>
        <xdr:cNvGrpSpPr/>
      </xdr:nvGrpSpPr>
      <xdr:grpSpPr>
        <a:xfrm>
          <a:off x="539750" y="8501067"/>
          <a:ext cx="2090952" cy="584028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F831E94A-535E-3AC8-816A-BBC0A2357940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9F22E756-6E37-E561-4D81-CB13294F9A5A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974CDDEF-98F4-D14E-8653-A7F411433B1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CD5FDEFB-130A-776B-88D0-348C6C31DC6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346120</xdr:colOff>
      <xdr:row>44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6ECFB93-AC9B-492B-B46D-1A77280A4CA7}"/>
            </a:ext>
          </a:extLst>
        </xdr:cNvPr>
        <xdr:cNvSpPr/>
      </xdr:nvSpPr>
      <xdr:spPr>
        <a:xfrm>
          <a:off x="2876550" y="1257300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43</xdr:row>
      <xdr:rowOff>0</xdr:rowOff>
    </xdr:from>
    <xdr:to>
      <xdr:col>7</xdr:col>
      <xdr:colOff>785739</xdr:colOff>
      <xdr:row>44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EBD4A9C-1FD2-46D4-ACD9-5C9B3FB262D7}"/>
            </a:ext>
          </a:extLst>
        </xdr:cNvPr>
        <xdr:cNvSpPr/>
      </xdr:nvSpPr>
      <xdr:spPr>
        <a:xfrm>
          <a:off x="4104685" y="1257300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A45B01-19E2-4450-8419-A37343D555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69</xdr:row>
      <xdr:rowOff>59377</xdr:rowOff>
    </xdr:from>
    <xdr:to>
      <xdr:col>10</xdr:col>
      <xdr:colOff>778365</xdr:colOff>
      <xdr:row>72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DF2771-41E6-4418-9203-4636AF8161A1}"/>
            </a:ext>
          </a:extLst>
        </xdr:cNvPr>
        <xdr:cNvGrpSpPr/>
      </xdr:nvGrpSpPr>
      <xdr:grpSpPr>
        <a:xfrm>
          <a:off x="5880357" y="14254700"/>
          <a:ext cx="2095303" cy="589404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F927191F-7734-D83A-6C1F-D37A1EB51378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46406052-611F-A68C-83A1-9859C2B14894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5322DD0D-AC0E-FC9D-D0B5-21C9683997B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94F1DE64-276E-9227-9BF5-90453F44AC46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69</xdr:row>
      <xdr:rowOff>59377</xdr:rowOff>
    </xdr:from>
    <xdr:to>
      <xdr:col>4</xdr:col>
      <xdr:colOff>416774</xdr:colOff>
      <xdr:row>72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6E9444-AEB8-49B6-818B-8FD359ACDABA}"/>
            </a:ext>
          </a:extLst>
        </xdr:cNvPr>
        <xdr:cNvGrpSpPr/>
      </xdr:nvGrpSpPr>
      <xdr:grpSpPr>
        <a:xfrm>
          <a:off x="540774" y="14254700"/>
          <a:ext cx="2095305" cy="589404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EBAE3D1A-60F0-D9E4-E7EB-767FEA38F6CC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251707C4-4369-1255-1A3D-C892859C73F0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39FAE372-4021-00FC-17B4-CA91BF2284C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D3272FB1-9CF7-0CC0-8B65-71D6A368C77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70</xdr:row>
      <xdr:rowOff>0</xdr:rowOff>
    </xdr:from>
    <xdr:to>
      <xdr:col>6</xdr:col>
      <xdr:colOff>346120</xdr:colOff>
      <xdr:row>71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88CB97A-6551-4A1B-ADD6-81A7F0DEFAC6}"/>
            </a:ext>
          </a:extLst>
        </xdr:cNvPr>
        <xdr:cNvSpPr/>
      </xdr:nvSpPr>
      <xdr:spPr>
        <a:xfrm>
          <a:off x="2876550" y="137350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70</xdr:row>
      <xdr:rowOff>0</xdr:rowOff>
    </xdr:from>
    <xdr:to>
      <xdr:col>7</xdr:col>
      <xdr:colOff>785739</xdr:colOff>
      <xdr:row>71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3323160-0E97-4B15-92B7-77E691DDFF95}"/>
            </a:ext>
          </a:extLst>
        </xdr:cNvPr>
        <xdr:cNvSpPr/>
      </xdr:nvSpPr>
      <xdr:spPr>
        <a:xfrm>
          <a:off x="4104685" y="137350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182359</xdr:colOff>
      <xdr:row>1</xdr:row>
      <xdr:rowOff>84666</xdr:rowOff>
    </xdr:from>
    <xdr:to>
      <xdr:col>4</xdr:col>
      <xdr:colOff>438808</xdr:colOff>
      <xdr:row>5</xdr:row>
      <xdr:rowOff>207451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8753EB-A9AB-4C59-B0D4-2442898446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41439" y="267546"/>
          <a:ext cx="2089694" cy="93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182624</xdr:colOff>
      <xdr:row>36</xdr:row>
      <xdr:rowOff>57137</xdr:rowOff>
    </xdr:from>
    <xdr:to>
      <xdr:col>7</xdr:col>
      <xdr:colOff>601996</xdr:colOff>
      <xdr:row>39</xdr:row>
      <xdr:rowOff>88433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67CC4-07CB-4CC4-9A62-8D96356B147A}"/>
            </a:ext>
          </a:extLst>
        </xdr:cNvPr>
        <xdr:cNvGrpSpPr/>
      </xdr:nvGrpSpPr>
      <xdr:grpSpPr>
        <a:xfrm>
          <a:off x="3193011" y="9326397"/>
          <a:ext cx="2097790" cy="584529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7D2E1F7A-0F8A-F1EE-0A09-2EAB1B869DFD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3A3D93CD-060F-2442-138E-42DF0897D427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ADE60C23-B836-377B-135D-0B9E0DB395D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4A2BD8C4-63B1-2EB6-3C9D-D6400E0BD910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2</xdr:col>
      <xdr:colOff>1994</xdr:colOff>
      <xdr:row>36</xdr:row>
      <xdr:rowOff>65160</xdr:rowOff>
    </xdr:from>
    <xdr:to>
      <xdr:col>4</xdr:col>
      <xdr:colOff>515605</xdr:colOff>
      <xdr:row>39</xdr:row>
      <xdr:rowOff>84220</xdr:rowOff>
    </xdr:to>
    <xdr:grpSp>
      <xdr:nvGrpSpPr>
        <xdr:cNvPr id="8" name="Group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41D5B-5B0B-4241-9E94-A12565F2DA89}"/>
            </a:ext>
          </a:extLst>
        </xdr:cNvPr>
        <xdr:cNvGrpSpPr/>
      </xdr:nvGrpSpPr>
      <xdr:grpSpPr>
        <a:xfrm>
          <a:off x="537830" y="9334420"/>
          <a:ext cx="2197109" cy="572293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1E3453EE-C2F7-07D6-46CE-9CC9C2FF3F4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917543E4-F1ED-CD96-357C-6F13AFAF0355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3DB47CC8-BA0F-1699-A77E-A90C095AD41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4A5B5196-EA8D-2090-8121-DB913C771529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8</xdr:col>
      <xdr:colOff>357782</xdr:colOff>
      <xdr:row>36</xdr:row>
      <xdr:rowOff>66997</xdr:rowOff>
    </xdr:from>
    <xdr:to>
      <xdr:col>10</xdr:col>
      <xdr:colOff>782175</xdr:colOff>
      <xdr:row>39</xdr:row>
      <xdr:rowOff>82382</xdr:rowOff>
    </xdr:to>
    <xdr:grpSp>
      <xdr:nvGrpSpPr>
        <xdr:cNvPr id="13" name="Group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2192B0-73C9-489C-9F6C-089A98A5E399}"/>
            </a:ext>
          </a:extLst>
        </xdr:cNvPr>
        <xdr:cNvGrpSpPr/>
      </xdr:nvGrpSpPr>
      <xdr:grpSpPr>
        <a:xfrm>
          <a:off x="5868016" y="9336257"/>
          <a:ext cx="2102811" cy="568618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166506CB-800D-031E-9F17-3B63339CD783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FA210593-78EB-7433-B429-9CBFBD5961D9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D1818E5F-3A75-377C-0918-7EF0BD06DE4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B55A5D89-37E6-1329-55E0-0ECF82461BA1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55D879-89DF-43E5-BEFC-F227C3F7FA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61</xdr:row>
      <xdr:rowOff>55567</xdr:rowOff>
    </xdr:from>
    <xdr:to>
      <xdr:col>10</xdr:col>
      <xdr:colOff>782175</xdr:colOff>
      <xdr:row>64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10EE7-7319-4074-AF01-819CCEB79C8D}"/>
            </a:ext>
          </a:extLst>
        </xdr:cNvPr>
        <xdr:cNvGrpSpPr/>
      </xdr:nvGrpSpPr>
      <xdr:grpSpPr>
        <a:xfrm>
          <a:off x="5884167" y="12730986"/>
          <a:ext cx="2095303" cy="589405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0A5AC81A-DAED-3BE9-FB2B-E0FFD8B9F337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2EBDF3C4-C0B2-F8DD-84DB-2EC5952AC986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E626CF9B-F396-7B3A-045A-543BA466AE5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3E70C823-57E0-DDD3-1C0F-4CC7DE3E55D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61</xdr:row>
      <xdr:rowOff>55567</xdr:rowOff>
    </xdr:from>
    <xdr:to>
      <xdr:col>4</xdr:col>
      <xdr:colOff>416774</xdr:colOff>
      <xdr:row>64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343761-A02A-46B7-A1C6-DFCE6538E495}"/>
            </a:ext>
          </a:extLst>
        </xdr:cNvPr>
        <xdr:cNvGrpSpPr/>
      </xdr:nvGrpSpPr>
      <xdr:grpSpPr>
        <a:xfrm>
          <a:off x="540774" y="12730986"/>
          <a:ext cx="2095305" cy="589405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68B2EDD7-0FF7-1E54-56BF-D5AB5146D45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EF941A94-1266-04E7-5276-66185F7E6E9F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BE0F04C0-BE2E-9D88-752D-8B25FF218E5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33FA6FDE-32D7-DFC4-2DA4-8D57BF9500C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62</xdr:row>
      <xdr:rowOff>0</xdr:rowOff>
    </xdr:from>
    <xdr:to>
      <xdr:col>6</xdr:col>
      <xdr:colOff>346120</xdr:colOff>
      <xdr:row>63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136CFB4-75F1-411E-97EE-CB899F936194}"/>
            </a:ext>
          </a:extLst>
        </xdr:cNvPr>
        <xdr:cNvSpPr/>
      </xdr:nvSpPr>
      <xdr:spPr>
        <a:xfrm>
          <a:off x="2876550" y="143827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62</xdr:row>
      <xdr:rowOff>0</xdr:rowOff>
    </xdr:from>
    <xdr:to>
      <xdr:col>7</xdr:col>
      <xdr:colOff>785739</xdr:colOff>
      <xdr:row>63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B98AEDA-D85B-4CC4-B3A6-3EA552D5E598}"/>
            </a:ext>
          </a:extLst>
        </xdr:cNvPr>
        <xdr:cNvSpPr/>
      </xdr:nvSpPr>
      <xdr:spPr>
        <a:xfrm>
          <a:off x="4104685" y="143827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DAED26-6981-479D-9939-8B82744C38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58</xdr:row>
      <xdr:rowOff>59377</xdr:rowOff>
    </xdr:from>
    <xdr:to>
      <xdr:col>10</xdr:col>
      <xdr:colOff>778365</xdr:colOff>
      <xdr:row>61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01A19-7A2A-4F5A-B062-997C9FDA45B1}"/>
            </a:ext>
          </a:extLst>
        </xdr:cNvPr>
        <xdr:cNvGrpSpPr/>
      </xdr:nvGrpSpPr>
      <xdr:grpSpPr>
        <a:xfrm>
          <a:off x="5880357" y="11796635"/>
          <a:ext cx="2095303" cy="589405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5FFA52A7-EE43-B7B3-0EB2-C88E31F32045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50FA58A0-E5AB-807C-790A-1C8BC7454ED4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4CB30016-DEA6-0D33-364E-4933980202E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38E26522-2B48-4CDA-0D8F-3C9B92AA374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58</xdr:row>
      <xdr:rowOff>59377</xdr:rowOff>
    </xdr:from>
    <xdr:to>
      <xdr:col>4</xdr:col>
      <xdr:colOff>416774</xdr:colOff>
      <xdr:row>61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2E96E6-8F1D-4617-B45E-A247791697FF}"/>
            </a:ext>
          </a:extLst>
        </xdr:cNvPr>
        <xdr:cNvGrpSpPr/>
      </xdr:nvGrpSpPr>
      <xdr:grpSpPr>
        <a:xfrm>
          <a:off x="540774" y="11796635"/>
          <a:ext cx="2095305" cy="589405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1DDAE085-BFFE-EF9F-FC62-4D919C9FF228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D32D5DE8-A217-0963-DA6B-423D7A811426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6C96E207-11FB-AA86-9D4D-2201E6A7FDC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516DD919-78D4-AFD6-3F57-858AB0C3E740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59</xdr:row>
      <xdr:rowOff>0</xdr:rowOff>
    </xdr:from>
    <xdr:to>
      <xdr:col>6</xdr:col>
      <xdr:colOff>346120</xdr:colOff>
      <xdr:row>60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159D385-FF95-48F9-AEFC-971F374677CD}"/>
            </a:ext>
          </a:extLst>
        </xdr:cNvPr>
        <xdr:cNvSpPr/>
      </xdr:nvSpPr>
      <xdr:spPr>
        <a:xfrm>
          <a:off x="2876550" y="1324927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59</xdr:row>
      <xdr:rowOff>0</xdr:rowOff>
    </xdr:from>
    <xdr:to>
      <xdr:col>7</xdr:col>
      <xdr:colOff>785739</xdr:colOff>
      <xdr:row>60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287567-BE3A-4639-A917-3269978BE399}"/>
            </a:ext>
          </a:extLst>
        </xdr:cNvPr>
        <xdr:cNvSpPr/>
      </xdr:nvSpPr>
      <xdr:spPr>
        <a:xfrm>
          <a:off x="4104685" y="1324927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2B80595-78DD-408A-88BA-38932952F6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77</xdr:row>
      <xdr:rowOff>55567</xdr:rowOff>
    </xdr:from>
    <xdr:to>
      <xdr:col>10</xdr:col>
      <xdr:colOff>782175</xdr:colOff>
      <xdr:row>80</xdr:row>
      <xdr:rowOff>91907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74495-7DA0-462D-8702-1D03A4421FB0}"/>
            </a:ext>
          </a:extLst>
        </xdr:cNvPr>
        <xdr:cNvGrpSpPr/>
      </xdr:nvGrpSpPr>
      <xdr:grpSpPr>
        <a:xfrm>
          <a:off x="5863611" y="15429251"/>
          <a:ext cx="2089697" cy="584445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77181198-4467-E2FC-F8C0-7E32EA56614E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DABAD838-6EEB-0C18-F131-91B82AAABA10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35F995D8-AE47-45B4-C657-BD57E1D1B95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C206457D-D2E0-D8E5-F571-900CBBFF2826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77</xdr:row>
      <xdr:rowOff>55567</xdr:rowOff>
    </xdr:from>
    <xdr:to>
      <xdr:col>4</xdr:col>
      <xdr:colOff>416774</xdr:colOff>
      <xdr:row>80</xdr:row>
      <xdr:rowOff>91907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990517-DAFC-491C-8945-77868142FE8A}"/>
            </a:ext>
          </a:extLst>
        </xdr:cNvPr>
        <xdr:cNvGrpSpPr/>
      </xdr:nvGrpSpPr>
      <xdr:grpSpPr>
        <a:xfrm>
          <a:off x="534737" y="15429251"/>
          <a:ext cx="2089698" cy="584445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EBCA95B9-2097-DE02-B104-89BDEFFE7017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97B2C40B-EAC6-ED07-C2F9-3FC878AB08D7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EFB97734-27D0-1570-7B05-A9F950BB5BF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AEA147FD-335F-DAF2-98F3-04845A78337D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78</xdr:row>
      <xdr:rowOff>0</xdr:rowOff>
    </xdr:from>
    <xdr:to>
      <xdr:col>6</xdr:col>
      <xdr:colOff>346120</xdr:colOff>
      <xdr:row>79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138CBD4-F19D-4633-BBE2-35A1298347B2}"/>
            </a:ext>
          </a:extLst>
        </xdr:cNvPr>
        <xdr:cNvSpPr/>
      </xdr:nvSpPr>
      <xdr:spPr>
        <a:xfrm>
          <a:off x="2876550" y="1438275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78</xdr:row>
      <xdr:rowOff>0</xdr:rowOff>
    </xdr:from>
    <xdr:to>
      <xdr:col>7</xdr:col>
      <xdr:colOff>785739</xdr:colOff>
      <xdr:row>79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D428E88-24D3-42C8-85A1-E9565FFD1671}"/>
            </a:ext>
          </a:extLst>
        </xdr:cNvPr>
        <xdr:cNvSpPr/>
      </xdr:nvSpPr>
      <xdr:spPr>
        <a:xfrm>
          <a:off x="4104685" y="1438275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1E88888-58D9-4D5F-B5F4-A46FCBDAAF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7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31</xdr:row>
      <xdr:rowOff>59377</xdr:rowOff>
    </xdr:from>
    <xdr:to>
      <xdr:col>10</xdr:col>
      <xdr:colOff>778365</xdr:colOff>
      <xdr:row>34</xdr:row>
      <xdr:rowOff>95717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485D9-B93D-4261-A167-1AF207CBE22F}"/>
            </a:ext>
          </a:extLst>
        </xdr:cNvPr>
        <xdr:cNvGrpSpPr/>
      </xdr:nvGrpSpPr>
      <xdr:grpSpPr>
        <a:xfrm>
          <a:off x="5869159" y="7383044"/>
          <a:ext cx="2091479" cy="582440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EFCDFBC0-C5B8-3E78-05A0-8F762D539787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04EF53AD-5C27-F94C-1574-E6C2EFFAC9A5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FD83110B-C73F-6BAA-4C47-B5969261F75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2329DD85-4FDD-F957-7146-4EAE72C0214F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31</xdr:row>
      <xdr:rowOff>59377</xdr:rowOff>
    </xdr:from>
    <xdr:to>
      <xdr:col>4</xdr:col>
      <xdr:colOff>416774</xdr:colOff>
      <xdr:row>34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EA3A06-C12B-44C7-BB36-6FB512F43D64}"/>
            </a:ext>
          </a:extLst>
        </xdr:cNvPr>
        <xdr:cNvGrpSpPr/>
      </xdr:nvGrpSpPr>
      <xdr:grpSpPr>
        <a:xfrm>
          <a:off x="541867" y="7383044"/>
          <a:ext cx="2091480" cy="58244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A2C95211-1AAE-E6F5-3EFF-DD81ACFD41B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A4030105-49CE-FCE1-AC45-D6D8AAB203C0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662048BE-5C06-D4DF-D08A-908EB6CB897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80F5022A-DBD4-B7EB-505D-997B9BB53370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32</xdr:row>
      <xdr:rowOff>0</xdr:rowOff>
    </xdr:from>
    <xdr:to>
      <xdr:col>6</xdr:col>
      <xdr:colOff>346120</xdr:colOff>
      <xdr:row>33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4F99CDF-2F2F-404D-A895-AFC4E47CA432}"/>
            </a:ext>
          </a:extLst>
        </xdr:cNvPr>
        <xdr:cNvSpPr/>
      </xdr:nvSpPr>
      <xdr:spPr>
        <a:xfrm>
          <a:off x="2876550" y="14744700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32</xdr:row>
      <xdr:rowOff>0</xdr:rowOff>
    </xdr:from>
    <xdr:to>
      <xdr:col>7</xdr:col>
      <xdr:colOff>785739</xdr:colOff>
      <xdr:row>33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5BE627-0A66-4A0C-AFAF-FD477C30AFDD}"/>
            </a:ext>
          </a:extLst>
        </xdr:cNvPr>
        <xdr:cNvSpPr/>
      </xdr:nvSpPr>
      <xdr:spPr>
        <a:xfrm>
          <a:off x="4104685" y="14744700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269347</xdr:colOff>
      <xdr:row>1</xdr:row>
      <xdr:rowOff>92286</xdr:rowOff>
    </xdr:from>
    <xdr:to>
      <xdr:col>4</xdr:col>
      <xdr:colOff>1530</xdr:colOff>
      <xdr:row>5</xdr:row>
      <xdr:rowOff>206816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3BF809E-0927-4A59-8045-027650F21A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526522" y="277071"/>
          <a:ext cx="2113433" cy="93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269855</xdr:colOff>
      <xdr:row>89</xdr:row>
      <xdr:rowOff>92438</xdr:rowOff>
    </xdr:from>
    <xdr:to>
      <xdr:col>6</xdr:col>
      <xdr:colOff>510955</xdr:colOff>
      <xdr:row>92</xdr:row>
      <xdr:rowOff>60752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A9E47-EBD3-4AA3-BA09-799A360CAC93}"/>
            </a:ext>
          </a:extLst>
        </xdr:cNvPr>
        <xdr:cNvGrpSpPr/>
      </xdr:nvGrpSpPr>
      <xdr:grpSpPr>
        <a:xfrm>
          <a:off x="3018798" y="20059047"/>
          <a:ext cx="1912604" cy="520488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EF9BC968-0D68-84E2-6F7D-9E2F65B0E0B9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361928EB-CFE5-6586-774B-157A0739CF77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7ADB4C34-293C-A106-70CA-DEBE90756FA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1CFD69D1-9E85-7A57-2F6D-D1E4D3E73890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1</xdr:col>
      <xdr:colOff>210295</xdr:colOff>
      <xdr:row>89</xdr:row>
      <xdr:rowOff>115733</xdr:rowOff>
    </xdr:from>
    <xdr:to>
      <xdr:col>3</xdr:col>
      <xdr:colOff>572449</xdr:colOff>
      <xdr:row>92</xdr:row>
      <xdr:rowOff>10785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D0652E-5B30-4CC3-A081-B27CC03D4A04}"/>
            </a:ext>
          </a:extLst>
        </xdr:cNvPr>
        <xdr:cNvGrpSpPr/>
      </xdr:nvGrpSpPr>
      <xdr:grpSpPr>
        <a:xfrm>
          <a:off x="486640" y="20082342"/>
          <a:ext cx="2038738" cy="447226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3E68A2AD-69E6-06D9-44C6-72083122119C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D79DD4BD-3BDD-67C9-ADEC-BADF52B0B863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148AFEEC-71E2-DFBE-CD64-41F79509EFA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2B19E423-4EF4-22C7-19C8-6083B66D11AD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7</xdr:col>
      <xdr:colOff>220082</xdr:colOff>
      <xdr:row>89</xdr:row>
      <xdr:rowOff>126545</xdr:rowOff>
    </xdr:from>
    <xdr:to>
      <xdr:col>9</xdr:col>
      <xdr:colOff>570732</xdr:colOff>
      <xdr:row>92</xdr:row>
      <xdr:rowOff>37882</xdr:rowOff>
    </xdr:to>
    <xdr:grpSp>
      <xdr:nvGrpSpPr>
        <xdr:cNvPr id="13" name="Group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BC191C7-37AC-4175-AAE3-C4F8649599BB}"/>
            </a:ext>
          </a:extLst>
        </xdr:cNvPr>
        <xdr:cNvGrpSpPr/>
      </xdr:nvGrpSpPr>
      <xdr:grpSpPr>
        <a:xfrm>
          <a:off x="5436543" y="20093154"/>
          <a:ext cx="2027234" cy="463511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C8D2967F-C021-FE3C-0FF8-0A211739BF4C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>
              <a:solidFill>
                <a:schemeClr val="bg1"/>
              </a:solidFill>
            </a:endParaRPr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806156A5-CE63-4955-47C3-62BBB947D948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8480AA0B-DEED-0057-30F0-BD41F54F3CA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AC14867C-0B44-ECAF-2D3B-0ECB83126CF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3</xdr:col>
      <xdr:colOff>0</xdr:colOff>
      <xdr:row>7</xdr:row>
      <xdr:rowOff>173899</xdr:rowOff>
    </xdr:from>
    <xdr:to>
      <xdr:col>6</xdr:col>
      <xdr:colOff>0</xdr:colOff>
      <xdr:row>10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778750CA-781B-454F-A400-58C0774D1A9A}"/>
            </a:ext>
          </a:extLst>
        </xdr:cNvPr>
        <xdr:cNvSpPr/>
      </xdr:nvSpPr>
      <xdr:spPr>
        <a:xfrm>
          <a:off x="1856014" y="1578156"/>
          <a:ext cx="2383972" cy="364944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Classement de</a:t>
          </a:r>
          <a:r>
            <a:rPr lang="fr-MA" sz="1200" b="1" kern="1200" baseline="0">
              <a:solidFill>
                <a:srgbClr val="009543"/>
              </a:solidFill>
              <a:latin typeface="Montserrat" panose="00000500000000000000" pitchFamily="2" charset="0"/>
            </a:rPr>
            <a:t> l'hôtel :</a:t>
          </a:r>
          <a:endParaRPr lang="fr-MA" sz="1200" b="1" kern="1200">
            <a:solidFill>
              <a:srgbClr val="009543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121CC31D-DBFE-430C-A588-3F904DF4A2D7}"/>
            </a:ext>
          </a:extLst>
        </xdr:cNvPr>
        <xdr:cNvSpPr/>
      </xdr:nvSpPr>
      <xdr:spPr>
        <a:xfrm>
          <a:off x="255814" y="2122714"/>
          <a:ext cx="2383972" cy="538843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majeurs :</a:t>
          </a:r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9</xdr:col>
      <xdr:colOff>1</xdr:colOff>
      <xdr:row>14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EEF5236D-5F28-44F1-BBB7-A7FCC32A2E2E}"/>
            </a:ext>
          </a:extLst>
        </xdr:cNvPr>
        <xdr:cNvSpPr/>
      </xdr:nvSpPr>
      <xdr:spPr>
        <a:xfrm>
          <a:off x="4239986" y="2122714"/>
          <a:ext cx="2383972" cy="538843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mineurs :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269347</xdr:colOff>
      <xdr:row>1</xdr:row>
      <xdr:rowOff>92286</xdr:rowOff>
    </xdr:from>
    <xdr:to>
      <xdr:col>4</xdr:col>
      <xdr:colOff>1530</xdr:colOff>
      <xdr:row>5</xdr:row>
      <xdr:rowOff>210626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F1593E-7710-454C-BAEB-7C761B86E4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526522" y="277071"/>
          <a:ext cx="2113433" cy="93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269855</xdr:colOff>
      <xdr:row>89</xdr:row>
      <xdr:rowOff>96248</xdr:rowOff>
    </xdr:from>
    <xdr:to>
      <xdr:col>6</xdr:col>
      <xdr:colOff>514765</xdr:colOff>
      <xdr:row>92</xdr:row>
      <xdr:rowOff>56942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BB230-6F90-4A1B-94A3-50B42BB4DEB1}"/>
            </a:ext>
          </a:extLst>
        </xdr:cNvPr>
        <xdr:cNvGrpSpPr/>
      </xdr:nvGrpSpPr>
      <xdr:grpSpPr>
        <a:xfrm>
          <a:off x="3018798" y="20062857"/>
          <a:ext cx="1918954" cy="512868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6C4AABA2-AD1D-FF3C-D156-498DE9470A53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BB0715A4-6325-1E8F-F91E-DDC89452F7F6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B26C0C4A-8DCB-BD1D-7054-5A52FB02B0B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847CEA95-11F8-61AB-4E9C-539A36B008C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1</xdr:col>
      <xdr:colOff>206485</xdr:colOff>
      <xdr:row>89</xdr:row>
      <xdr:rowOff>115733</xdr:rowOff>
    </xdr:from>
    <xdr:to>
      <xdr:col>3</xdr:col>
      <xdr:colOff>572449</xdr:colOff>
      <xdr:row>92</xdr:row>
      <xdr:rowOff>12690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4E196A-50E7-4561-9801-247FB489EE46}"/>
            </a:ext>
          </a:extLst>
        </xdr:cNvPr>
        <xdr:cNvGrpSpPr/>
      </xdr:nvGrpSpPr>
      <xdr:grpSpPr>
        <a:xfrm>
          <a:off x="482830" y="20082342"/>
          <a:ext cx="2042548" cy="44913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A7E8B700-3C84-BAB2-4F33-6906B65ADF77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AB7A495-C9A0-550E-EC04-632AFF844F07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B7BB685C-0FD2-79D0-332A-169BAFE9CBE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DD21BBA3-3725-0D24-D897-2D576C72CA7C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7</xdr:col>
      <xdr:colOff>218177</xdr:colOff>
      <xdr:row>89</xdr:row>
      <xdr:rowOff>130355</xdr:rowOff>
    </xdr:from>
    <xdr:to>
      <xdr:col>9</xdr:col>
      <xdr:colOff>570732</xdr:colOff>
      <xdr:row>92</xdr:row>
      <xdr:rowOff>37882</xdr:rowOff>
    </xdr:to>
    <xdr:grpSp>
      <xdr:nvGrpSpPr>
        <xdr:cNvPr id="13" name="Group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07EDF3D-BF45-445C-8210-AB4BFF5EB9F7}"/>
            </a:ext>
          </a:extLst>
        </xdr:cNvPr>
        <xdr:cNvGrpSpPr/>
      </xdr:nvGrpSpPr>
      <xdr:grpSpPr>
        <a:xfrm>
          <a:off x="5434638" y="20096964"/>
          <a:ext cx="2029139" cy="459701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8251A677-BEF2-7E68-A883-69FBB12103E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>
              <a:solidFill>
                <a:schemeClr val="bg1"/>
              </a:solidFill>
            </a:endParaRPr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9C850B77-D9CC-6918-FC06-AD14B3136245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40CE085D-EBFF-C1B5-8F42-0EF1A9F70A0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50CC3991-4A45-DFA1-D4A2-D7E8A4F6C519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3</xdr:col>
      <xdr:colOff>0</xdr:colOff>
      <xdr:row>7</xdr:row>
      <xdr:rowOff>173899</xdr:rowOff>
    </xdr:from>
    <xdr:to>
      <xdr:col>6</xdr:col>
      <xdr:colOff>0</xdr:colOff>
      <xdr:row>10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C3E7DB5-A210-4D1A-9B92-1F3BDD6AF413}"/>
            </a:ext>
          </a:extLst>
        </xdr:cNvPr>
        <xdr:cNvSpPr/>
      </xdr:nvSpPr>
      <xdr:spPr>
        <a:xfrm>
          <a:off x="1857375" y="1579789"/>
          <a:ext cx="2381250" cy="372836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Classement de</a:t>
          </a:r>
          <a:r>
            <a:rPr lang="fr-MA" sz="1200" b="1" kern="1200" baseline="0">
              <a:solidFill>
                <a:srgbClr val="009543"/>
              </a:solidFill>
              <a:latin typeface="Montserrat" panose="00000500000000000000" pitchFamily="2" charset="0"/>
            </a:rPr>
            <a:t> l'hôtel :</a:t>
          </a:r>
          <a:endParaRPr lang="fr-MA" sz="1200" b="1" kern="1200">
            <a:solidFill>
              <a:srgbClr val="009543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CF6D3412-8193-4552-8240-3D6DF002F31C}"/>
            </a:ext>
          </a:extLst>
        </xdr:cNvPr>
        <xdr:cNvSpPr/>
      </xdr:nvSpPr>
      <xdr:spPr>
        <a:xfrm>
          <a:off x="257175" y="2133600"/>
          <a:ext cx="2381250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majeurs :</a:t>
          </a:r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9</xdr:col>
      <xdr:colOff>1</xdr:colOff>
      <xdr:row>14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1112C4A8-3820-465D-A515-E5B16123C2B4}"/>
            </a:ext>
          </a:extLst>
        </xdr:cNvPr>
        <xdr:cNvSpPr/>
      </xdr:nvSpPr>
      <xdr:spPr>
        <a:xfrm>
          <a:off x="4238625" y="2133600"/>
          <a:ext cx="2381251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mineurs :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269347</xdr:colOff>
      <xdr:row>1</xdr:row>
      <xdr:rowOff>92286</xdr:rowOff>
    </xdr:from>
    <xdr:to>
      <xdr:col>4</xdr:col>
      <xdr:colOff>1530</xdr:colOff>
      <xdr:row>5</xdr:row>
      <xdr:rowOff>206816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063FCB-0FFE-4807-A9C4-96BD94123F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526522" y="277071"/>
          <a:ext cx="2113433" cy="93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269855</xdr:colOff>
      <xdr:row>72</xdr:row>
      <xdr:rowOff>92438</xdr:rowOff>
    </xdr:from>
    <xdr:to>
      <xdr:col>6</xdr:col>
      <xdr:colOff>510955</xdr:colOff>
      <xdr:row>75</xdr:row>
      <xdr:rowOff>60752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53CA2-2846-4B96-A318-032EE9E5B7F7}"/>
            </a:ext>
          </a:extLst>
        </xdr:cNvPr>
        <xdr:cNvGrpSpPr/>
      </xdr:nvGrpSpPr>
      <xdr:grpSpPr>
        <a:xfrm>
          <a:off x="3018798" y="15847800"/>
          <a:ext cx="1912604" cy="520488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E48F9F64-AA51-2F5E-8BF7-A5A65942815B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C91E35DB-3A59-B64C-02DE-C877E1B8B706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259FC40F-8B9F-5ADA-77AB-285453ACE8F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612A8F11-EABC-2395-30DE-448EBCFBF9DC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1</xdr:col>
      <xdr:colOff>210295</xdr:colOff>
      <xdr:row>72</xdr:row>
      <xdr:rowOff>115733</xdr:rowOff>
    </xdr:from>
    <xdr:to>
      <xdr:col>3</xdr:col>
      <xdr:colOff>572449</xdr:colOff>
      <xdr:row>75</xdr:row>
      <xdr:rowOff>16500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54B601-8876-4A4C-91AE-1D8E3FBF51A1}"/>
            </a:ext>
          </a:extLst>
        </xdr:cNvPr>
        <xdr:cNvGrpSpPr/>
      </xdr:nvGrpSpPr>
      <xdr:grpSpPr>
        <a:xfrm>
          <a:off x="486640" y="15871095"/>
          <a:ext cx="2038738" cy="45294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E0C798B9-B247-315D-67F9-52A5B0120C5A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015F3099-E99C-49F8-AC73-6D5194036E2D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E57FF8B5-5F1B-5F99-BBA7-D68287B8E90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EBCFBE40-87A8-A378-DBCE-D1AF15B07995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7</xdr:col>
      <xdr:colOff>216272</xdr:colOff>
      <xdr:row>72</xdr:row>
      <xdr:rowOff>134165</xdr:rowOff>
    </xdr:from>
    <xdr:to>
      <xdr:col>9</xdr:col>
      <xdr:colOff>570732</xdr:colOff>
      <xdr:row>75</xdr:row>
      <xdr:rowOff>37882</xdr:rowOff>
    </xdr:to>
    <xdr:grpSp>
      <xdr:nvGrpSpPr>
        <xdr:cNvPr id="13" name="Group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F31D34E-AAF1-489C-A93F-65CA24F02A26}"/>
            </a:ext>
          </a:extLst>
        </xdr:cNvPr>
        <xdr:cNvGrpSpPr/>
      </xdr:nvGrpSpPr>
      <xdr:grpSpPr>
        <a:xfrm>
          <a:off x="5432733" y="15889527"/>
          <a:ext cx="2031044" cy="455891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8E23ACB9-F71E-D7AC-185F-A26215678D3E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>
              <a:solidFill>
                <a:schemeClr val="bg1"/>
              </a:solidFill>
            </a:endParaRPr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0831F29E-62E3-9DE6-668A-D3B171E5DA64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A9BCB55A-816E-BF64-1BC9-7E13A10E80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286373F6-019D-40C2-59E7-C6EA4CCC8FA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3</xdr:col>
      <xdr:colOff>0</xdr:colOff>
      <xdr:row>7</xdr:row>
      <xdr:rowOff>173899</xdr:rowOff>
    </xdr:from>
    <xdr:to>
      <xdr:col>6</xdr:col>
      <xdr:colOff>0</xdr:colOff>
      <xdr:row>10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FF7BFE6B-7080-4761-8804-0444A749E212}"/>
            </a:ext>
          </a:extLst>
        </xdr:cNvPr>
        <xdr:cNvSpPr/>
      </xdr:nvSpPr>
      <xdr:spPr>
        <a:xfrm>
          <a:off x="1857375" y="1579789"/>
          <a:ext cx="2381250" cy="372836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Classement de</a:t>
          </a:r>
          <a:r>
            <a:rPr lang="fr-MA" sz="1200" b="1" kern="1200" baseline="0">
              <a:solidFill>
                <a:srgbClr val="009543"/>
              </a:solidFill>
              <a:latin typeface="Montserrat" panose="00000500000000000000" pitchFamily="2" charset="0"/>
            </a:rPr>
            <a:t> l'hôtel :</a:t>
          </a:r>
          <a:endParaRPr lang="fr-MA" sz="1200" b="1" kern="1200">
            <a:solidFill>
              <a:srgbClr val="009543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80AEEFD-8181-423E-9A29-ADE8DDAE59C2}"/>
            </a:ext>
          </a:extLst>
        </xdr:cNvPr>
        <xdr:cNvSpPr/>
      </xdr:nvSpPr>
      <xdr:spPr>
        <a:xfrm>
          <a:off x="257175" y="2133600"/>
          <a:ext cx="2381250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majeurs :</a:t>
          </a:r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9</xdr:col>
      <xdr:colOff>1</xdr:colOff>
      <xdr:row>14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78D0738-F896-40A9-9E7F-4C4E7555DD1B}"/>
            </a:ext>
          </a:extLst>
        </xdr:cNvPr>
        <xdr:cNvSpPr/>
      </xdr:nvSpPr>
      <xdr:spPr>
        <a:xfrm>
          <a:off x="4238625" y="2133600"/>
          <a:ext cx="2381251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mineurs :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269347</xdr:colOff>
      <xdr:row>1</xdr:row>
      <xdr:rowOff>92286</xdr:rowOff>
    </xdr:from>
    <xdr:to>
      <xdr:col>4</xdr:col>
      <xdr:colOff>1530</xdr:colOff>
      <xdr:row>5</xdr:row>
      <xdr:rowOff>206816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77441C-0A43-4D6D-BA0C-3DC87048A6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526522" y="277071"/>
          <a:ext cx="2113433" cy="93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269855</xdr:colOff>
      <xdr:row>57</xdr:row>
      <xdr:rowOff>96248</xdr:rowOff>
    </xdr:from>
    <xdr:to>
      <xdr:col>6</xdr:col>
      <xdr:colOff>514765</xdr:colOff>
      <xdr:row>60</xdr:row>
      <xdr:rowOff>56942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F2E88-9938-4843-A236-D3800B7016A8}"/>
            </a:ext>
          </a:extLst>
        </xdr:cNvPr>
        <xdr:cNvGrpSpPr/>
      </xdr:nvGrpSpPr>
      <xdr:grpSpPr>
        <a:xfrm>
          <a:off x="3018798" y="12553291"/>
          <a:ext cx="1918954" cy="512868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33AE2BD4-4803-F66A-5F30-89BD18EEDFA0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C42C3220-CCA5-A73E-B7B6-705397703DEA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9DC47C15-6745-1FA4-D30B-9048E7317CE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F1B4D1B6-9BCA-08D8-49D0-7ED0778C2DD8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1</xdr:col>
      <xdr:colOff>206485</xdr:colOff>
      <xdr:row>57</xdr:row>
      <xdr:rowOff>115733</xdr:rowOff>
    </xdr:from>
    <xdr:to>
      <xdr:col>3</xdr:col>
      <xdr:colOff>572449</xdr:colOff>
      <xdr:row>60</xdr:row>
      <xdr:rowOff>20310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0ADBD0-142F-49DF-B5B5-F9B1B442EDC9}"/>
            </a:ext>
          </a:extLst>
        </xdr:cNvPr>
        <xdr:cNvGrpSpPr/>
      </xdr:nvGrpSpPr>
      <xdr:grpSpPr>
        <a:xfrm>
          <a:off x="482830" y="12572776"/>
          <a:ext cx="2042548" cy="456751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3A5513CD-23FB-A371-1FCC-9EF3D1A686C0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2828E068-DFA2-1B5F-BF52-B421E1BE0F42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5F45F213-9B14-5077-C75C-895A2554C1D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B8012B71-14E5-332A-CD00-EB951FCF5987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7</xdr:col>
      <xdr:colOff>212462</xdr:colOff>
      <xdr:row>57</xdr:row>
      <xdr:rowOff>130355</xdr:rowOff>
    </xdr:from>
    <xdr:to>
      <xdr:col>9</xdr:col>
      <xdr:colOff>570732</xdr:colOff>
      <xdr:row>60</xdr:row>
      <xdr:rowOff>37882</xdr:rowOff>
    </xdr:to>
    <xdr:grpSp>
      <xdr:nvGrpSpPr>
        <xdr:cNvPr id="13" name="Group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67645AB-7C64-4AA6-B6A3-1236353949F7}"/>
            </a:ext>
          </a:extLst>
        </xdr:cNvPr>
        <xdr:cNvGrpSpPr/>
      </xdr:nvGrpSpPr>
      <xdr:grpSpPr>
        <a:xfrm>
          <a:off x="5428923" y="12587398"/>
          <a:ext cx="2034854" cy="459701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E16C9C65-B6D9-97FB-9A52-32791034E44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>
              <a:solidFill>
                <a:schemeClr val="bg1"/>
              </a:solidFill>
            </a:endParaRPr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91793B87-9699-C952-9A1C-DC82E96E7D09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62020E11-244A-1FD5-009B-45B91C12095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0369462B-72CA-962A-E47C-203346B5F609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3</xdr:col>
      <xdr:colOff>0</xdr:colOff>
      <xdr:row>7</xdr:row>
      <xdr:rowOff>173899</xdr:rowOff>
    </xdr:from>
    <xdr:to>
      <xdr:col>6</xdr:col>
      <xdr:colOff>0</xdr:colOff>
      <xdr:row>10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E5E1F9DA-E527-44DA-9C4C-BBDE9CBCD5AA}"/>
            </a:ext>
          </a:extLst>
        </xdr:cNvPr>
        <xdr:cNvSpPr/>
      </xdr:nvSpPr>
      <xdr:spPr>
        <a:xfrm>
          <a:off x="1857375" y="1579789"/>
          <a:ext cx="2381250" cy="372836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Classement de</a:t>
          </a:r>
          <a:r>
            <a:rPr lang="fr-MA" sz="1200" b="1" kern="1200" baseline="0">
              <a:solidFill>
                <a:srgbClr val="009543"/>
              </a:solidFill>
              <a:latin typeface="Montserrat" panose="00000500000000000000" pitchFamily="2" charset="0"/>
            </a:rPr>
            <a:t> l'hôtel :</a:t>
          </a:r>
          <a:endParaRPr lang="fr-MA" sz="1200" b="1" kern="1200">
            <a:solidFill>
              <a:srgbClr val="009543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DA91670-E006-4E8A-81BE-5CA13E01ED60}"/>
            </a:ext>
          </a:extLst>
        </xdr:cNvPr>
        <xdr:cNvSpPr/>
      </xdr:nvSpPr>
      <xdr:spPr>
        <a:xfrm>
          <a:off x="257175" y="2133600"/>
          <a:ext cx="2381250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majeurs :</a:t>
          </a:r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9</xdr:col>
      <xdr:colOff>1</xdr:colOff>
      <xdr:row>14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E261FD2-4881-4252-99E3-48055D903994}"/>
            </a:ext>
          </a:extLst>
        </xdr:cNvPr>
        <xdr:cNvSpPr/>
      </xdr:nvSpPr>
      <xdr:spPr>
        <a:xfrm>
          <a:off x="4238625" y="2133600"/>
          <a:ext cx="2381251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mineurs :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269347</xdr:colOff>
      <xdr:row>1</xdr:row>
      <xdr:rowOff>92286</xdr:rowOff>
    </xdr:from>
    <xdr:to>
      <xdr:col>4</xdr:col>
      <xdr:colOff>1530</xdr:colOff>
      <xdr:row>5</xdr:row>
      <xdr:rowOff>210626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9D2282A-6598-4250-BC05-89F9520A17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526522" y="277071"/>
          <a:ext cx="2113433" cy="93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269855</xdr:colOff>
      <xdr:row>52</xdr:row>
      <xdr:rowOff>92438</xdr:rowOff>
    </xdr:from>
    <xdr:to>
      <xdr:col>6</xdr:col>
      <xdr:colOff>510955</xdr:colOff>
      <xdr:row>55</xdr:row>
      <xdr:rowOff>60752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957CC-8D23-4E0A-AD0D-B557D4C4B045}"/>
            </a:ext>
          </a:extLst>
        </xdr:cNvPr>
        <xdr:cNvGrpSpPr/>
      </xdr:nvGrpSpPr>
      <xdr:grpSpPr>
        <a:xfrm>
          <a:off x="2909641" y="11667762"/>
          <a:ext cx="1845110" cy="499537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71348F7E-86A0-379F-1662-6DDBB31E8BB6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D95F8F38-65D1-537E-B7F9-5AE19D88C4DE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26F835F1-7A6E-34C6-F413-2D0593F8517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21FA4A46-1975-97A9-B685-5C54ADA23AF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1</xdr:col>
      <xdr:colOff>210295</xdr:colOff>
      <xdr:row>52</xdr:row>
      <xdr:rowOff>115733</xdr:rowOff>
    </xdr:from>
    <xdr:to>
      <xdr:col>3</xdr:col>
      <xdr:colOff>572449</xdr:colOff>
      <xdr:row>55</xdr:row>
      <xdr:rowOff>16500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884188-4F72-4BE8-B3E4-9B09609E2059}"/>
            </a:ext>
          </a:extLst>
        </xdr:cNvPr>
        <xdr:cNvGrpSpPr/>
      </xdr:nvGrpSpPr>
      <xdr:grpSpPr>
        <a:xfrm>
          <a:off x="462299" y="11687247"/>
          <a:ext cx="1966164" cy="443420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53F16F77-3800-1A7F-BBB5-D6FC54AEDCC1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FE0C9B4B-EB9E-F7A9-8523-C0ADC33A17B0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4ED317D1-8AF2-59F1-1ADB-EE327A66C86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ED0C2F21-C733-5D3B-53F3-0D5D7C377DBB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7</xdr:col>
      <xdr:colOff>208652</xdr:colOff>
      <xdr:row>52</xdr:row>
      <xdr:rowOff>134165</xdr:rowOff>
    </xdr:from>
    <xdr:to>
      <xdr:col>9</xdr:col>
      <xdr:colOff>570732</xdr:colOff>
      <xdr:row>55</xdr:row>
      <xdr:rowOff>37882</xdr:rowOff>
    </xdr:to>
    <xdr:grpSp>
      <xdr:nvGrpSpPr>
        <xdr:cNvPr id="13" name="Group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29A7512-91E2-402A-850D-7FFE74E4E4B9}"/>
            </a:ext>
          </a:extLst>
        </xdr:cNvPr>
        <xdr:cNvGrpSpPr/>
      </xdr:nvGrpSpPr>
      <xdr:grpSpPr>
        <a:xfrm>
          <a:off x="5236219" y="11701869"/>
          <a:ext cx="1958470" cy="446370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2B8E52A0-5AC9-6AD6-4382-7B413C76D897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>
              <a:solidFill>
                <a:schemeClr val="bg1"/>
              </a:solidFill>
            </a:endParaRPr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443FC64C-2EAE-1B54-9FB8-B3C010A2E2E8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1E0AD7BC-C47A-9433-A9F6-CE7DA86C9F9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38DD6AEC-9B20-F832-0728-310F6D6D7F13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3</xdr:col>
      <xdr:colOff>0</xdr:colOff>
      <xdr:row>7</xdr:row>
      <xdr:rowOff>173899</xdr:rowOff>
    </xdr:from>
    <xdr:to>
      <xdr:col>6</xdr:col>
      <xdr:colOff>0</xdr:colOff>
      <xdr:row>10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82F78AB-9D56-4ADF-BDA7-0EB7A33040EA}"/>
            </a:ext>
          </a:extLst>
        </xdr:cNvPr>
        <xdr:cNvSpPr/>
      </xdr:nvSpPr>
      <xdr:spPr>
        <a:xfrm>
          <a:off x="1857375" y="1579789"/>
          <a:ext cx="2381250" cy="372836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Classement de</a:t>
          </a:r>
          <a:r>
            <a:rPr lang="fr-MA" sz="1200" b="1" kern="1200" baseline="0">
              <a:solidFill>
                <a:srgbClr val="009543"/>
              </a:solidFill>
              <a:latin typeface="Montserrat" panose="00000500000000000000" pitchFamily="2" charset="0"/>
            </a:rPr>
            <a:t> l'hôtel :</a:t>
          </a:r>
          <a:endParaRPr lang="fr-MA" sz="1200" b="1" kern="1200">
            <a:solidFill>
              <a:srgbClr val="009543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FF81CE81-D264-431A-9AD2-66192013CE55}"/>
            </a:ext>
          </a:extLst>
        </xdr:cNvPr>
        <xdr:cNvSpPr/>
      </xdr:nvSpPr>
      <xdr:spPr>
        <a:xfrm>
          <a:off x="257175" y="2133600"/>
          <a:ext cx="2381250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majeurs :</a:t>
          </a:r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9</xdr:col>
      <xdr:colOff>1</xdr:colOff>
      <xdr:row>14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BD10BAD1-708E-4F8D-97B3-C28245008F36}"/>
            </a:ext>
          </a:extLst>
        </xdr:cNvPr>
        <xdr:cNvSpPr/>
      </xdr:nvSpPr>
      <xdr:spPr>
        <a:xfrm>
          <a:off x="4238625" y="2133600"/>
          <a:ext cx="2381251" cy="542925"/>
        </a:xfrm>
        <a:prstGeom prst="rect">
          <a:avLst/>
        </a:prstGeom>
        <a:solidFill>
          <a:sysClr val="window" lastClr="FFFFFF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Conformité des critères mineurs :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17872</xdr:rowOff>
    </xdr:from>
    <xdr:to>
      <xdr:col>8</xdr:col>
      <xdr:colOff>0</xdr:colOff>
      <xdr:row>19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DB58B0D-0412-9983-F784-CD95D650F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4</xdr:col>
      <xdr:colOff>676567</xdr:colOff>
      <xdr:row>10</xdr:row>
      <xdr:rowOff>175858</xdr:rowOff>
    </xdr:to>
    <xdr:grpSp>
      <xdr:nvGrpSpPr>
        <xdr:cNvPr id="22" name="Grou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A475B-A260-508C-8785-870410305F67}"/>
            </a:ext>
          </a:extLst>
        </xdr:cNvPr>
        <xdr:cNvGrpSpPr/>
      </xdr:nvGrpSpPr>
      <xdr:grpSpPr>
        <a:xfrm>
          <a:off x="538602" y="1609687"/>
          <a:ext cx="2360618" cy="543087"/>
          <a:chOff x="515790" y="785592"/>
          <a:chExt cx="2104651" cy="549040"/>
        </a:xfrm>
      </xdr:grpSpPr>
      <xdr:sp macro="" textlink="">
        <xdr:nvSpPr>
          <xdr:cNvPr id="18" name="Rectangle : coins arrondis 17">
            <a:extLst>
              <a:ext uri="{FF2B5EF4-FFF2-40B4-BE49-F238E27FC236}">
                <a16:creationId xmlns:a16="http://schemas.microsoft.com/office/drawing/2014/main" id="{FE1B62F3-A0C3-61C0-86A9-CAAE87180A7A}"/>
              </a:ext>
            </a:extLst>
          </xdr:cNvPr>
          <xdr:cNvSpPr/>
        </xdr:nvSpPr>
        <xdr:spPr>
          <a:xfrm>
            <a:off x="515790" y="785592"/>
            <a:ext cx="2104651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20" name="Graphique 19" descr="Internet avec un remplissage uni">
            <a:extLst>
              <a:ext uri="{FF2B5EF4-FFF2-40B4-BE49-F238E27FC236}">
                <a16:creationId xmlns:a16="http://schemas.microsoft.com/office/drawing/2014/main" id="{8341E30E-8CDD-D756-EF59-BE0898AFE5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/>
          <a:stretch/>
        </xdr:blipFill>
        <xdr:spPr>
          <a:xfrm>
            <a:off x="712663" y="869807"/>
            <a:ext cx="335853" cy="370545"/>
          </a:xfrm>
          <a:prstGeom prst="rect">
            <a:avLst/>
          </a:prstGeom>
        </xdr:spPr>
      </xdr:pic>
      <xdr:sp macro="" textlink="">
        <xdr:nvSpPr>
          <xdr:cNvPr id="21" name="ZoneTexte 20">
            <a:extLst>
              <a:ext uri="{FF2B5EF4-FFF2-40B4-BE49-F238E27FC236}">
                <a16:creationId xmlns:a16="http://schemas.microsoft.com/office/drawing/2014/main" id="{BC25EDD3-6828-287E-4A2B-0ECA9D1AB504}"/>
              </a:ext>
            </a:extLst>
          </xdr:cNvPr>
          <xdr:cNvSpPr txBox="1"/>
        </xdr:nvSpPr>
        <xdr:spPr>
          <a:xfrm>
            <a:off x="1203835" y="785593"/>
            <a:ext cx="1416580" cy="5490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solidFill>
                  <a:sysClr val="windowText" lastClr="000000"/>
                </a:solidFill>
                <a:latin typeface="Montserrat" panose="00000500000000000000" pitchFamily="2" charset="0"/>
              </a:rPr>
              <a:t>Information et réservation</a:t>
            </a:r>
          </a:p>
        </xdr:txBody>
      </xdr:sp>
    </xdr:grpSp>
    <xdr:clientData/>
  </xdr:twoCellAnchor>
  <xdr:twoCellAnchor>
    <xdr:from>
      <xdr:col>8</xdr:col>
      <xdr:colOff>119150</xdr:colOff>
      <xdr:row>7</xdr:row>
      <xdr:rowOff>183839</xdr:rowOff>
    </xdr:from>
    <xdr:to>
      <xdr:col>11</xdr:col>
      <xdr:colOff>0</xdr:colOff>
      <xdr:row>10</xdr:row>
      <xdr:rowOff>175858</xdr:rowOff>
    </xdr:to>
    <xdr:grpSp>
      <xdr:nvGrpSpPr>
        <xdr:cNvPr id="24" name="Groupe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A2604-067D-A830-8E99-4CC3C55B6B27}"/>
            </a:ext>
          </a:extLst>
        </xdr:cNvPr>
        <xdr:cNvGrpSpPr/>
      </xdr:nvGrpSpPr>
      <xdr:grpSpPr>
        <a:xfrm>
          <a:off x="5614302" y="1609911"/>
          <a:ext cx="2363746" cy="542863"/>
          <a:chOff x="515765" y="777806"/>
          <a:chExt cx="2104650" cy="549039"/>
        </a:xfrm>
      </xdr:grpSpPr>
      <xdr:sp macro="" textlink="">
        <xdr:nvSpPr>
          <xdr:cNvPr id="25" name="Rectangle : coins arrondis 24">
            <a:extLst>
              <a:ext uri="{FF2B5EF4-FFF2-40B4-BE49-F238E27FC236}">
                <a16:creationId xmlns:a16="http://schemas.microsoft.com/office/drawing/2014/main" id="{34A41FF4-29AD-06B1-4F52-493AE7BE19AE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26" name="Graphique 25" descr="Sonnette d’hôtel avec un remplissage uni">
            <a:extLst>
              <a:ext uri="{FF2B5EF4-FFF2-40B4-BE49-F238E27FC236}">
                <a16:creationId xmlns:a16="http://schemas.microsoft.com/office/drawing/2014/main" id="{36694541-C80F-04CA-BC3C-822961E2E9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rcRect/>
          <a:stretch/>
        </xdr:blipFill>
        <xdr:spPr>
          <a:xfrm>
            <a:off x="709376" y="871455"/>
            <a:ext cx="342428" cy="367249"/>
          </a:xfrm>
          <a:prstGeom prst="rect">
            <a:avLst/>
          </a:prstGeom>
        </xdr:spPr>
      </xdr:pic>
      <xdr:sp macro="" textlink="">
        <xdr:nvSpPr>
          <xdr:cNvPr id="27" name="ZoneTexte 26">
            <a:extLst>
              <a:ext uri="{FF2B5EF4-FFF2-40B4-BE49-F238E27FC236}">
                <a16:creationId xmlns:a16="http://schemas.microsoft.com/office/drawing/2014/main" id="{6063A6EF-3C31-4AAF-80E3-CFEBBCB32DE4}"/>
              </a:ext>
            </a:extLst>
          </xdr:cNvPr>
          <xdr:cNvSpPr txBox="1"/>
        </xdr:nvSpPr>
        <xdr:spPr>
          <a:xfrm>
            <a:off x="1203835" y="778413"/>
            <a:ext cx="1416580" cy="548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Accueil et réception</a:t>
            </a:r>
          </a:p>
        </xdr:txBody>
      </xdr:sp>
    </xdr:grpSp>
    <xdr:clientData/>
  </xdr:twoCellAnchor>
  <xdr:twoCellAnchor>
    <xdr:from>
      <xdr:col>5</xdr:col>
      <xdr:colOff>59070</xdr:colOff>
      <xdr:row>12</xdr:row>
      <xdr:rowOff>0</xdr:rowOff>
    </xdr:from>
    <xdr:to>
      <xdr:col>7</xdr:col>
      <xdr:colOff>735636</xdr:colOff>
      <xdr:row>14</xdr:row>
      <xdr:rowOff>177626</xdr:rowOff>
    </xdr:to>
    <xdr:grpSp>
      <xdr:nvGrpSpPr>
        <xdr:cNvPr id="28" name="Group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FDFECE-CF6F-0800-4001-8F4DBAB5C933}"/>
            </a:ext>
          </a:extLst>
        </xdr:cNvPr>
        <xdr:cNvGrpSpPr/>
      </xdr:nvGrpSpPr>
      <xdr:grpSpPr>
        <a:xfrm>
          <a:off x="3063706" y="2344145"/>
          <a:ext cx="2360617" cy="544854"/>
          <a:chOff x="515765" y="777806"/>
          <a:chExt cx="2104650" cy="549039"/>
        </a:xfrm>
      </xdr:grpSpPr>
      <xdr:sp macro="" textlink="">
        <xdr:nvSpPr>
          <xdr:cNvPr id="29" name="Rectangle : coins arrondis 28">
            <a:extLst>
              <a:ext uri="{FF2B5EF4-FFF2-40B4-BE49-F238E27FC236}">
                <a16:creationId xmlns:a16="http://schemas.microsoft.com/office/drawing/2014/main" id="{D3F15A33-18A5-EA14-0DC9-1AE6FCAAFF50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30" name="Graphique 29" descr="Ascenseur avec un remplissage uni">
            <a:extLst>
              <a:ext uri="{FF2B5EF4-FFF2-40B4-BE49-F238E27FC236}">
                <a16:creationId xmlns:a16="http://schemas.microsoft.com/office/drawing/2014/main" id="{2DB870F6-7C00-EF9E-7D58-2C272A3710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rcRect/>
          <a:stretch/>
        </xdr:blipFill>
        <xdr:spPr>
          <a:xfrm>
            <a:off x="709249" y="871113"/>
            <a:ext cx="342684" cy="367932"/>
          </a:xfrm>
          <a:prstGeom prst="rect">
            <a:avLst/>
          </a:prstGeom>
        </xdr:spPr>
      </xdr:pic>
      <xdr:sp macro="" textlink="">
        <xdr:nvSpPr>
          <xdr:cNvPr id="31" name="ZoneTexte 30">
            <a:extLst>
              <a:ext uri="{FF2B5EF4-FFF2-40B4-BE49-F238E27FC236}">
                <a16:creationId xmlns:a16="http://schemas.microsoft.com/office/drawing/2014/main" id="{4619114F-D040-C831-13AC-2B028690696A}"/>
              </a:ext>
            </a:extLst>
          </xdr:cNvPr>
          <xdr:cNvSpPr txBox="1"/>
        </xdr:nvSpPr>
        <xdr:spPr>
          <a:xfrm>
            <a:off x="1203835" y="947464"/>
            <a:ext cx="1416580" cy="18301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Circulation</a:t>
            </a:r>
          </a:p>
        </xdr:txBody>
      </xdr:sp>
    </xdr:grpSp>
    <xdr:clientData/>
  </xdr:twoCellAnchor>
  <xdr:twoCellAnchor>
    <xdr:from>
      <xdr:col>2</xdr:col>
      <xdr:colOff>0</xdr:colOff>
      <xdr:row>15</xdr:row>
      <xdr:rowOff>170518</xdr:rowOff>
    </xdr:from>
    <xdr:to>
      <xdr:col>4</xdr:col>
      <xdr:colOff>676567</xdr:colOff>
      <xdr:row>18</xdr:row>
      <xdr:rowOff>164305</xdr:rowOff>
    </xdr:to>
    <xdr:grpSp>
      <xdr:nvGrpSpPr>
        <xdr:cNvPr id="32" name="Groupe 3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C96820F-155B-1ACA-67EB-BE3C000DFCC9}"/>
            </a:ext>
          </a:extLst>
        </xdr:cNvPr>
        <xdr:cNvGrpSpPr/>
      </xdr:nvGrpSpPr>
      <xdr:grpSpPr>
        <a:xfrm>
          <a:off x="538602" y="3065506"/>
          <a:ext cx="2360618" cy="544630"/>
          <a:chOff x="515765" y="751095"/>
          <a:chExt cx="2104650" cy="575750"/>
        </a:xfrm>
      </xdr:grpSpPr>
      <xdr:sp macro="" textlink="">
        <xdr:nvSpPr>
          <xdr:cNvPr id="33" name="Rectangle : coins arrondis 32">
            <a:extLst>
              <a:ext uri="{FF2B5EF4-FFF2-40B4-BE49-F238E27FC236}">
                <a16:creationId xmlns:a16="http://schemas.microsoft.com/office/drawing/2014/main" id="{5F896A2D-8F24-B0F6-22D9-F5CA35B9F94A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34" name="Graphique 33" descr="Fourchette et couteau avec un remplissage uni">
            <a:extLst>
              <a:ext uri="{FF2B5EF4-FFF2-40B4-BE49-F238E27FC236}">
                <a16:creationId xmlns:a16="http://schemas.microsoft.com/office/drawing/2014/main" id="{6D91FB8F-0B3E-23C2-3E9B-8E75A87BDB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96DAC541-7B7A-43D3-8B79-37D633B846F1}">
                <asvg:svgBlip xmlns:asvg="http://schemas.microsoft.com/office/drawing/2016/SVG/main" r:embed="rId12"/>
              </a:ext>
            </a:extLst>
          </a:blip>
          <a:srcRect/>
          <a:stretch/>
        </xdr:blipFill>
        <xdr:spPr>
          <a:xfrm>
            <a:off x="697587" y="871113"/>
            <a:ext cx="366007" cy="367932"/>
          </a:xfrm>
          <a:prstGeom prst="rect">
            <a:avLst/>
          </a:prstGeom>
        </xdr:spPr>
      </xdr:pic>
      <xdr:sp macro="" textlink="">
        <xdr:nvSpPr>
          <xdr:cNvPr id="35" name="ZoneTexte 34">
            <a:extLst>
              <a:ext uri="{FF2B5EF4-FFF2-40B4-BE49-F238E27FC236}">
                <a16:creationId xmlns:a16="http://schemas.microsoft.com/office/drawing/2014/main" id="{91843317-34F0-20B5-A84F-B3214491B451}"/>
              </a:ext>
            </a:extLst>
          </xdr:cNvPr>
          <xdr:cNvSpPr txBox="1"/>
        </xdr:nvSpPr>
        <xdr:spPr>
          <a:xfrm>
            <a:off x="1203835" y="751095"/>
            <a:ext cx="1416580" cy="57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Restaurant principal</a:t>
            </a:r>
          </a:p>
        </xdr:txBody>
      </xdr:sp>
    </xdr:grpSp>
    <xdr:clientData/>
  </xdr:twoCellAnchor>
  <xdr:twoCellAnchor editAs="oneCell">
    <xdr:from>
      <xdr:col>1</xdr:col>
      <xdr:colOff>182359</xdr:colOff>
      <xdr:row>1</xdr:row>
      <xdr:rowOff>84666</xdr:rowOff>
    </xdr:from>
    <xdr:to>
      <xdr:col>4</xdr:col>
      <xdr:colOff>439443</xdr:colOff>
      <xdr:row>5</xdr:row>
      <xdr:rowOff>206816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77DC0658-8E6E-4037-8B35-040C25EF70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42872" y="267025"/>
          <a:ext cx="2095295" cy="93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182624</xdr:colOff>
      <xdr:row>38</xdr:row>
      <xdr:rowOff>57137</xdr:rowOff>
    </xdr:from>
    <xdr:to>
      <xdr:col>7</xdr:col>
      <xdr:colOff>601996</xdr:colOff>
      <xdr:row>41</xdr:row>
      <xdr:rowOff>88433</xdr:rowOff>
    </xdr:to>
    <xdr:grpSp>
      <xdr:nvGrpSpPr>
        <xdr:cNvPr id="65" name="Groupe 6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7735AD-9BC1-4A1E-BDEF-041BE475A447}"/>
            </a:ext>
          </a:extLst>
        </xdr:cNvPr>
        <xdr:cNvGrpSpPr/>
      </xdr:nvGrpSpPr>
      <xdr:grpSpPr>
        <a:xfrm>
          <a:off x="3192340" y="7175257"/>
          <a:ext cx="2093263" cy="582140"/>
          <a:chOff x="179947" y="1266468"/>
          <a:chExt cx="1982997" cy="574848"/>
        </a:xfrm>
      </xdr:grpSpPr>
      <xdr:sp macro="" textlink="">
        <xdr:nvSpPr>
          <xdr:cNvPr id="66" name="Rectangle : coins arrondis 65">
            <a:extLst>
              <a:ext uri="{FF2B5EF4-FFF2-40B4-BE49-F238E27FC236}">
                <a16:creationId xmlns:a16="http://schemas.microsoft.com/office/drawing/2014/main" id="{97C8180B-251A-948D-0994-B40755E956A8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67" name="Groupe 66">
            <a:extLst>
              <a:ext uri="{FF2B5EF4-FFF2-40B4-BE49-F238E27FC236}">
                <a16:creationId xmlns:a16="http://schemas.microsoft.com/office/drawing/2014/main" id="{865844C8-7DD2-C500-DE62-63A86276AB89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8" name="Graphique 67" descr="Logement avec un remplissage uni">
              <a:extLst>
                <a:ext uri="{FF2B5EF4-FFF2-40B4-BE49-F238E27FC236}">
                  <a16:creationId xmlns:a16="http://schemas.microsoft.com/office/drawing/2014/main" id="{585FCEA3-61C8-B5C3-EE5D-F5FBFDA825E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>
              <a:extLst>
                <a:ext uri="{96DAC541-7B7A-43D3-8B79-37D633B846F1}">
                  <asvg:svgBlip xmlns:asvg="http://schemas.microsoft.com/office/drawing/2016/SVG/main" r:embed="rId16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69" name="ZoneTexte 68">
              <a:extLst>
                <a:ext uri="{FF2B5EF4-FFF2-40B4-BE49-F238E27FC236}">
                  <a16:creationId xmlns:a16="http://schemas.microsoft.com/office/drawing/2014/main" id="{71C370DC-1C94-BBB0-3F5B-89F19CC2409D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2</xdr:col>
      <xdr:colOff>1994</xdr:colOff>
      <xdr:row>38</xdr:row>
      <xdr:rowOff>65160</xdr:rowOff>
    </xdr:from>
    <xdr:to>
      <xdr:col>4</xdr:col>
      <xdr:colOff>515605</xdr:colOff>
      <xdr:row>41</xdr:row>
      <xdr:rowOff>84220</xdr:rowOff>
    </xdr:to>
    <xdr:grpSp>
      <xdr:nvGrpSpPr>
        <xdr:cNvPr id="90" name="Groupe 8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2791E61-C0AB-2E48-9430-65C95458D394}"/>
            </a:ext>
          </a:extLst>
        </xdr:cNvPr>
        <xdr:cNvGrpSpPr/>
      </xdr:nvGrpSpPr>
      <xdr:grpSpPr>
        <a:xfrm>
          <a:off x="540596" y="7183280"/>
          <a:ext cx="2192582" cy="569904"/>
          <a:chOff x="179886" y="1268633"/>
          <a:chExt cx="1983736" cy="573466"/>
        </a:xfrm>
      </xdr:grpSpPr>
      <xdr:sp macro="" textlink="">
        <xdr:nvSpPr>
          <xdr:cNvPr id="91" name="Rectangle : coins arrondis 90">
            <a:extLst>
              <a:ext uri="{FF2B5EF4-FFF2-40B4-BE49-F238E27FC236}">
                <a16:creationId xmlns:a16="http://schemas.microsoft.com/office/drawing/2014/main" id="{C6FC6F41-9358-288E-E9A2-166FF6ECFDBC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92" name="Groupe 91">
            <a:extLst>
              <a:ext uri="{FF2B5EF4-FFF2-40B4-BE49-F238E27FC236}">
                <a16:creationId xmlns:a16="http://schemas.microsoft.com/office/drawing/2014/main" id="{E8BCBD8A-ED55-84EE-E9DC-B4D7AD403207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93" name="Graphique 92" descr="Flèche : droite avec un remplissage uni">
              <a:extLst>
                <a:ext uri="{FF2B5EF4-FFF2-40B4-BE49-F238E27FC236}">
                  <a16:creationId xmlns:a16="http://schemas.microsoft.com/office/drawing/2014/main" id="{20844233-C03E-FB32-0E98-9FE37E44B88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7">
              <a:extLst>
                <a:ext uri="{96DAC541-7B7A-43D3-8B79-37D633B846F1}">
                  <asvg:svgBlip xmlns:asvg="http://schemas.microsoft.com/office/drawing/2016/SVG/main" r:embed="rId18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94" name="ZoneTexte 93">
              <a:extLst>
                <a:ext uri="{FF2B5EF4-FFF2-40B4-BE49-F238E27FC236}">
                  <a16:creationId xmlns:a16="http://schemas.microsoft.com/office/drawing/2014/main" id="{C9AB494F-3B24-5336-D7A8-73D05634FB61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8</xdr:col>
      <xdr:colOff>357782</xdr:colOff>
      <xdr:row>38</xdr:row>
      <xdr:rowOff>66997</xdr:rowOff>
    </xdr:from>
    <xdr:to>
      <xdr:col>10</xdr:col>
      <xdr:colOff>782175</xdr:colOff>
      <xdr:row>41</xdr:row>
      <xdr:rowOff>82382</xdr:rowOff>
    </xdr:to>
    <xdr:grpSp>
      <xdr:nvGrpSpPr>
        <xdr:cNvPr id="95" name="Grou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8D5C3-1391-4284-9B7D-91F5931BC6C5}"/>
            </a:ext>
          </a:extLst>
        </xdr:cNvPr>
        <xdr:cNvGrpSpPr/>
      </xdr:nvGrpSpPr>
      <xdr:grpSpPr>
        <a:xfrm>
          <a:off x="5860554" y="7185117"/>
          <a:ext cx="2098284" cy="566229"/>
          <a:chOff x="179886" y="1268633"/>
          <a:chExt cx="1983736" cy="573466"/>
        </a:xfrm>
      </xdr:grpSpPr>
      <xdr:sp macro="" textlink="">
        <xdr:nvSpPr>
          <xdr:cNvPr id="96" name="Rectangle : coins arrondis 95">
            <a:extLst>
              <a:ext uri="{FF2B5EF4-FFF2-40B4-BE49-F238E27FC236}">
                <a16:creationId xmlns:a16="http://schemas.microsoft.com/office/drawing/2014/main" id="{D9F79599-C43A-02D7-B437-E15E79B05673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97" name="Groupe 96">
            <a:extLst>
              <a:ext uri="{FF2B5EF4-FFF2-40B4-BE49-F238E27FC236}">
                <a16:creationId xmlns:a16="http://schemas.microsoft.com/office/drawing/2014/main" id="{A551D587-E2CA-610A-D79A-E0167FCE339A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98" name="Graphique 97" descr="Flèche : courbe légère avec un remplissage uni">
              <a:extLst>
                <a:ext uri="{FF2B5EF4-FFF2-40B4-BE49-F238E27FC236}">
                  <a16:creationId xmlns:a16="http://schemas.microsoft.com/office/drawing/2014/main" id="{7C791257-14B5-AC7A-42A6-52DA0B362D4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9">
              <a:extLst>
                <a:ext uri="{96DAC541-7B7A-43D3-8B79-37D633B846F1}">
                  <asvg:svgBlip xmlns:asvg="http://schemas.microsoft.com/office/drawing/2016/SVG/main" r:embed="rId20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99" name="ZoneTexte 98">
              <a:extLst>
                <a:ext uri="{FF2B5EF4-FFF2-40B4-BE49-F238E27FC236}">
                  <a16:creationId xmlns:a16="http://schemas.microsoft.com/office/drawing/2014/main" id="{CB1D0F96-AE3C-96A4-9616-4491F3FEBE69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5</xdr:col>
      <xdr:colOff>59070</xdr:colOff>
      <xdr:row>8</xdr:row>
      <xdr:rowOff>0</xdr:rowOff>
    </xdr:from>
    <xdr:to>
      <xdr:col>7</xdr:col>
      <xdr:colOff>735636</xdr:colOff>
      <xdr:row>10</xdr:row>
      <xdr:rowOff>175858</xdr:rowOff>
    </xdr:to>
    <xdr:grpSp>
      <xdr:nvGrpSpPr>
        <xdr:cNvPr id="125" name="Groupe 1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6F3B5DC0-E647-3FA8-7396-C3B71E4A5CEE}"/>
            </a:ext>
          </a:extLst>
        </xdr:cNvPr>
        <xdr:cNvGrpSpPr/>
      </xdr:nvGrpSpPr>
      <xdr:grpSpPr>
        <a:xfrm>
          <a:off x="3063706" y="1609687"/>
          <a:ext cx="2360617" cy="543087"/>
          <a:chOff x="515765" y="777806"/>
          <a:chExt cx="2104650" cy="549039"/>
        </a:xfrm>
      </xdr:grpSpPr>
      <xdr:sp macro="" textlink="">
        <xdr:nvSpPr>
          <xdr:cNvPr id="126" name="Rectangle : coins arrondis 125">
            <a:extLst>
              <a:ext uri="{FF2B5EF4-FFF2-40B4-BE49-F238E27FC236}">
                <a16:creationId xmlns:a16="http://schemas.microsoft.com/office/drawing/2014/main" id="{335F67EA-6A28-510F-4A21-656BB8A69D81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127" name="Graphique 126" descr="Bâtiment avec un remplissage uni">
            <a:extLst>
              <a:ext uri="{FF2B5EF4-FFF2-40B4-BE49-F238E27FC236}">
                <a16:creationId xmlns:a16="http://schemas.microsoft.com/office/drawing/2014/main" id="{0AFE8D03-72A5-B56A-2678-2769FD0B09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96DAC541-7B7A-43D3-8B79-37D633B846F1}">
                <asvg:svgBlip xmlns:asvg="http://schemas.microsoft.com/office/drawing/2016/SVG/main" r:embed="rId23"/>
              </a:ext>
            </a:extLst>
          </a:blip>
          <a:srcRect/>
          <a:stretch/>
        </xdr:blipFill>
        <xdr:spPr>
          <a:xfrm>
            <a:off x="708664" y="873499"/>
            <a:ext cx="343855" cy="363162"/>
          </a:xfrm>
          <a:prstGeom prst="rect">
            <a:avLst/>
          </a:prstGeom>
        </xdr:spPr>
      </xdr:pic>
      <xdr:sp macro="" textlink="">
        <xdr:nvSpPr>
          <xdr:cNvPr id="128" name="ZoneTexte 127">
            <a:extLst>
              <a:ext uri="{FF2B5EF4-FFF2-40B4-BE49-F238E27FC236}">
                <a16:creationId xmlns:a16="http://schemas.microsoft.com/office/drawing/2014/main" id="{68BB67AD-219E-76BA-931F-91C07C8124D4}"/>
              </a:ext>
            </a:extLst>
          </xdr:cNvPr>
          <xdr:cNvSpPr txBox="1"/>
        </xdr:nvSpPr>
        <xdr:spPr>
          <a:xfrm>
            <a:off x="1203835" y="947464"/>
            <a:ext cx="1416580" cy="18301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Extérieur</a:t>
            </a:r>
          </a:p>
        </xdr:txBody>
      </xdr:sp>
    </xdr:grp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676567</xdr:colOff>
      <xdr:row>14</xdr:row>
      <xdr:rowOff>177626</xdr:rowOff>
    </xdr:to>
    <xdr:grpSp>
      <xdr:nvGrpSpPr>
        <xdr:cNvPr id="129" name="Groupe 12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146E79B0-668A-56A2-09FC-342F6227826B}"/>
            </a:ext>
          </a:extLst>
        </xdr:cNvPr>
        <xdr:cNvGrpSpPr/>
      </xdr:nvGrpSpPr>
      <xdr:grpSpPr>
        <a:xfrm>
          <a:off x="538602" y="2344145"/>
          <a:ext cx="2360618" cy="544854"/>
          <a:chOff x="515765" y="751609"/>
          <a:chExt cx="2104650" cy="575236"/>
        </a:xfrm>
      </xdr:grpSpPr>
      <xdr:sp macro="" textlink="">
        <xdr:nvSpPr>
          <xdr:cNvPr id="130" name="Rectangle : coins arrondis 129">
            <a:extLst>
              <a:ext uri="{FF2B5EF4-FFF2-40B4-BE49-F238E27FC236}">
                <a16:creationId xmlns:a16="http://schemas.microsoft.com/office/drawing/2014/main" id="{7832DE20-B2DB-D032-FBA1-F750C97D3B60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131" name="Graphique 130" descr="Toilettes avec un remplissage uni">
            <a:extLst>
              <a:ext uri="{FF2B5EF4-FFF2-40B4-BE49-F238E27FC236}">
                <a16:creationId xmlns:a16="http://schemas.microsoft.com/office/drawing/2014/main" id="{6E26847E-8100-4B0E-3A04-BD18415338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96DAC541-7B7A-43D3-8B79-37D633B846F1}">
                <asvg:svgBlip xmlns:asvg="http://schemas.microsoft.com/office/drawing/2016/SVG/main" r:embed="rId26"/>
              </a:ext>
            </a:extLst>
          </a:blip>
          <a:srcRect/>
          <a:stretch/>
        </xdr:blipFill>
        <xdr:spPr>
          <a:xfrm>
            <a:off x="708826" y="871113"/>
            <a:ext cx="343528" cy="367932"/>
          </a:xfrm>
          <a:prstGeom prst="rect">
            <a:avLst/>
          </a:prstGeom>
        </xdr:spPr>
      </xdr:pic>
      <xdr:sp macro="" textlink="">
        <xdr:nvSpPr>
          <xdr:cNvPr id="132" name="ZoneTexte 131">
            <a:extLst>
              <a:ext uri="{FF2B5EF4-FFF2-40B4-BE49-F238E27FC236}">
                <a16:creationId xmlns:a16="http://schemas.microsoft.com/office/drawing/2014/main" id="{F277A8B4-6137-1B56-7F73-D2D33216B27B}"/>
              </a:ext>
            </a:extLst>
          </xdr:cNvPr>
          <xdr:cNvSpPr txBox="1"/>
        </xdr:nvSpPr>
        <xdr:spPr>
          <a:xfrm>
            <a:off x="1203835" y="751609"/>
            <a:ext cx="1416580" cy="5747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Sanitaires publiques</a:t>
            </a:r>
          </a:p>
        </xdr:txBody>
      </xdr:sp>
    </xdr:grpSp>
    <xdr:clientData/>
  </xdr:twoCellAnchor>
  <xdr:twoCellAnchor>
    <xdr:from>
      <xdr:col>8</xdr:col>
      <xdr:colOff>119150</xdr:colOff>
      <xdr:row>12</xdr:row>
      <xdr:rowOff>0</xdr:rowOff>
    </xdr:from>
    <xdr:to>
      <xdr:col>11</xdr:col>
      <xdr:colOff>0</xdr:colOff>
      <xdr:row>14</xdr:row>
      <xdr:rowOff>177626</xdr:rowOff>
    </xdr:to>
    <xdr:grpSp>
      <xdr:nvGrpSpPr>
        <xdr:cNvPr id="133" name="Groupe 13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DE911C52-5EBE-506C-B41A-4F9D02018DDE}"/>
            </a:ext>
          </a:extLst>
        </xdr:cNvPr>
        <xdr:cNvGrpSpPr/>
      </xdr:nvGrpSpPr>
      <xdr:grpSpPr>
        <a:xfrm>
          <a:off x="5614302" y="2344145"/>
          <a:ext cx="2363746" cy="544854"/>
          <a:chOff x="515765" y="777806"/>
          <a:chExt cx="2104650" cy="549039"/>
        </a:xfrm>
      </xdr:grpSpPr>
      <xdr:sp macro="" textlink="">
        <xdr:nvSpPr>
          <xdr:cNvPr id="134" name="Rectangle : coins arrondis 133">
            <a:extLst>
              <a:ext uri="{FF2B5EF4-FFF2-40B4-BE49-F238E27FC236}">
                <a16:creationId xmlns:a16="http://schemas.microsoft.com/office/drawing/2014/main" id="{3B061A29-6123-6344-9F3A-FA04BB300F19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135" name="Graphique 134" descr="Croissant avec un remplissage uni">
            <a:extLst>
              <a:ext uri="{FF2B5EF4-FFF2-40B4-BE49-F238E27FC236}">
                <a16:creationId xmlns:a16="http://schemas.microsoft.com/office/drawing/2014/main" id="{044A0485-2ABB-58A6-CECD-0DAD1CAE9C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>
            <a:extLst>
              <a:ext uri="{96DAC541-7B7A-43D3-8B79-37D633B846F1}">
                <asvg:svgBlip xmlns:asvg="http://schemas.microsoft.com/office/drawing/2016/SVG/main" r:embed="rId29"/>
              </a:ext>
            </a:extLst>
          </a:blip>
          <a:srcRect/>
          <a:stretch/>
        </xdr:blipFill>
        <xdr:spPr>
          <a:xfrm>
            <a:off x="708825" y="872536"/>
            <a:ext cx="343529" cy="365085"/>
          </a:xfrm>
          <a:prstGeom prst="rect">
            <a:avLst/>
          </a:prstGeom>
        </xdr:spPr>
      </xdr:pic>
      <xdr:sp macro="" textlink="">
        <xdr:nvSpPr>
          <xdr:cNvPr id="136" name="ZoneTexte 135">
            <a:extLst>
              <a:ext uri="{FF2B5EF4-FFF2-40B4-BE49-F238E27FC236}">
                <a16:creationId xmlns:a16="http://schemas.microsoft.com/office/drawing/2014/main" id="{87AC77B2-5368-A614-D935-C7385CCA99CD}"/>
              </a:ext>
            </a:extLst>
          </xdr:cNvPr>
          <xdr:cNvSpPr txBox="1"/>
        </xdr:nvSpPr>
        <xdr:spPr>
          <a:xfrm>
            <a:off x="1203835" y="947464"/>
            <a:ext cx="1416580" cy="18301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Petit-déjeuner</a:t>
            </a:r>
          </a:p>
        </xdr:txBody>
      </xdr:sp>
    </xdr:grpSp>
    <xdr:clientData/>
  </xdr:twoCellAnchor>
  <xdr:twoCellAnchor>
    <xdr:from>
      <xdr:col>5</xdr:col>
      <xdr:colOff>55260</xdr:colOff>
      <xdr:row>16</xdr:row>
      <xdr:rowOff>11293</xdr:rowOff>
    </xdr:from>
    <xdr:to>
      <xdr:col>7</xdr:col>
      <xdr:colOff>736271</xdr:colOff>
      <xdr:row>19</xdr:row>
      <xdr:rowOff>0</xdr:rowOff>
    </xdr:to>
    <xdr:grpSp>
      <xdr:nvGrpSpPr>
        <xdr:cNvPr id="137" name="Groupe 136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1B7DE990-B203-5B05-7B09-60BE9E6D1BE8}"/>
            </a:ext>
          </a:extLst>
        </xdr:cNvPr>
        <xdr:cNvGrpSpPr/>
      </xdr:nvGrpSpPr>
      <xdr:grpSpPr>
        <a:xfrm>
          <a:off x="3059896" y="3089895"/>
          <a:ext cx="2365062" cy="539551"/>
          <a:chOff x="515765" y="777806"/>
          <a:chExt cx="2104650" cy="549039"/>
        </a:xfrm>
      </xdr:grpSpPr>
      <xdr:sp macro="" textlink="">
        <xdr:nvSpPr>
          <xdr:cNvPr id="138" name="Rectangle : coins arrondis 137">
            <a:extLst>
              <a:ext uri="{FF2B5EF4-FFF2-40B4-BE49-F238E27FC236}">
                <a16:creationId xmlns:a16="http://schemas.microsoft.com/office/drawing/2014/main" id="{FD4F1A30-ED7E-7F2A-B9E2-5559EFB426B3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139" name="Graphique 138" descr="Pizza avec un remplissage uni">
            <a:extLst>
              <a:ext uri="{FF2B5EF4-FFF2-40B4-BE49-F238E27FC236}">
                <a16:creationId xmlns:a16="http://schemas.microsoft.com/office/drawing/2014/main" id="{6283AA7E-9B17-7927-74DA-1DB79E9380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96DAC541-7B7A-43D3-8B79-37D633B846F1}">
                <asvg:svgBlip xmlns:asvg="http://schemas.microsoft.com/office/drawing/2016/SVG/main" r:embed="rId32"/>
              </a:ext>
            </a:extLst>
          </a:blip>
          <a:srcRect/>
          <a:stretch/>
        </xdr:blipFill>
        <xdr:spPr>
          <a:xfrm>
            <a:off x="723053" y="875790"/>
            <a:ext cx="315073" cy="358578"/>
          </a:xfrm>
          <a:prstGeom prst="rect">
            <a:avLst/>
          </a:prstGeom>
        </xdr:spPr>
      </xdr:pic>
      <xdr:sp macro="" textlink="">
        <xdr:nvSpPr>
          <xdr:cNvPr id="140" name="ZoneTexte 139">
            <a:extLst>
              <a:ext uri="{FF2B5EF4-FFF2-40B4-BE49-F238E27FC236}">
                <a16:creationId xmlns:a16="http://schemas.microsoft.com/office/drawing/2014/main" id="{458F54A4-93BD-8797-1AEA-53511C8EA865}"/>
              </a:ext>
            </a:extLst>
          </xdr:cNvPr>
          <xdr:cNvSpPr txBox="1"/>
        </xdr:nvSpPr>
        <xdr:spPr>
          <a:xfrm>
            <a:off x="1203836" y="798511"/>
            <a:ext cx="1361436" cy="50762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190" b="1" kern="1200">
                <a:latin typeface="Montserrat" panose="00000500000000000000" pitchFamily="2" charset="0"/>
              </a:rPr>
              <a:t>Restaurant thématique</a:t>
            </a:r>
          </a:p>
        </xdr:txBody>
      </xdr:sp>
    </xdr:grpSp>
    <xdr:clientData/>
  </xdr:twoCellAnchor>
  <xdr:twoCellAnchor>
    <xdr:from>
      <xdr:col>8</xdr:col>
      <xdr:colOff>119150</xdr:colOff>
      <xdr:row>16</xdr:row>
      <xdr:rowOff>6213</xdr:rowOff>
    </xdr:from>
    <xdr:to>
      <xdr:col>11</xdr:col>
      <xdr:colOff>0</xdr:colOff>
      <xdr:row>19</xdr:row>
      <xdr:rowOff>0</xdr:rowOff>
    </xdr:to>
    <xdr:grpSp>
      <xdr:nvGrpSpPr>
        <xdr:cNvPr id="2" name="Groupe 1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6C7F1701-645A-4B89-AE90-814E1B7F8C9E}"/>
            </a:ext>
          </a:extLst>
        </xdr:cNvPr>
        <xdr:cNvGrpSpPr/>
      </xdr:nvGrpSpPr>
      <xdr:grpSpPr>
        <a:xfrm>
          <a:off x="5614302" y="3084815"/>
          <a:ext cx="2363746" cy="544631"/>
          <a:chOff x="515790" y="785592"/>
          <a:chExt cx="2104651" cy="549040"/>
        </a:xfrm>
      </xdr:grpSpPr>
      <xdr:sp macro="" textlink="">
        <xdr:nvSpPr>
          <xdr:cNvPr id="3" name="Rectangle : coins arrondis 2">
            <a:extLst>
              <a:ext uri="{FF2B5EF4-FFF2-40B4-BE49-F238E27FC236}">
                <a16:creationId xmlns:a16="http://schemas.microsoft.com/office/drawing/2014/main" id="{853CD9ED-F624-A06F-7B3C-6F86784A1A5D}"/>
              </a:ext>
            </a:extLst>
          </xdr:cNvPr>
          <xdr:cNvSpPr/>
        </xdr:nvSpPr>
        <xdr:spPr>
          <a:xfrm>
            <a:off x="515790" y="785592"/>
            <a:ext cx="2104651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4" name="Graphique 3" descr="Martini avec un remplissage uni">
            <a:extLst>
              <a:ext uri="{FF2B5EF4-FFF2-40B4-BE49-F238E27FC236}">
                <a16:creationId xmlns:a16="http://schemas.microsoft.com/office/drawing/2014/main" id="{905D2BBA-B0B4-9810-392C-AAFA09E9B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>
            <a:extLst>
              <a:ext uri="{96DAC541-7B7A-43D3-8B79-37D633B846F1}">
                <asvg:svgBlip xmlns:asvg="http://schemas.microsoft.com/office/drawing/2016/SVG/main" r:embed="rId35"/>
              </a:ext>
            </a:extLst>
          </a:blip>
          <a:srcRect/>
          <a:stretch/>
        </xdr:blipFill>
        <xdr:spPr>
          <a:xfrm>
            <a:off x="712663" y="869807"/>
            <a:ext cx="335852" cy="370545"/>
          </a:xfrm>
          <a:prstGeom prst="rect">
            <a:avLst/>
          </a:prstGeom>
        </xdr:spPr>
      </xdr:pic>
      <xdr:sp macro="" textlink="">
        <xdr:nvSpPr>
          <xdr:cNvPr id="5" name="ZoneTexte 4">
            <a:extLst>
              <a:ext uri="{FF2B5EF4-FFF2-40B4-BE49-F238E27FC236}">
                <a16:creationId xmlns:a16="http://schemas.microsoft.com/office/drawing/2014/main" id="{44824C78-738B-310E-F60D-2C309F179674}"/>
              </a:ext>
            </a:extLst>
          </xdr:cNvPr>
          <xdr:cNvSpPr txBox="1"/>
        </xdr:nvSpPr>
        <xdr:spPr>
          <a:xfrm>
            <a:off x="1203835" y="785593"/>
            <a:ext cx="1416580" cy="5490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solidFill>
                  <a:sysClr val="windowText" lastClr="000000"/>
                </a:solidFill>
                <a:latin typeface="Montserrat" panose="00000500000000000000" pitchFamily="2" charset="0"/>
              </a:rPr>
              <a:t>Bar</a:t>
            </a:r>
          </a:p>
        </xdr:txBody>
      </xdr:sp>
    </xdr:grpSp>
    <xdr:clientData/>
  </xdr:twoCellAnchor>
  <xdr:twoCellAnchor>
    <xdr:from>
      <xdr:col>5</xdr:col>
      <xdr:colOff>59070</xdr:colOff>
      <xdr:row>20</xdr:row>
      <xdr:rowOff>18638</xdr:rowOff>
    </xdr:from>
    <xdr:to>
      <xdr:col>7</xdr:col>
      <xdr:colOff>735636</xdr:colOff>
      <xdr:row>23</xdr:row>
      <xdr:rowOff>10657</xdr:rowOff>
    </xdr:to>
    <xdr:grpSp>
      <xdr:nvGrpSpPr>
        <xdr:cNvPr id="6" name="Groupe 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BE7CAE0F-55DE-4E62-96B9-BD852D58D2EF}"/>
            </a:ext>
          </a:extLst>
        </xdr:cNvPr>
        <xdr:cNvGrpSpPr/>
      </xdr:nvGrpSpPr>
      <xdr:grpSpPr>
        <a:xfrm>
          <a:off x="3063706" y="3831698"/>
          <a:ext cx="2360617" cy="542863"/>
          <a:chOff x="515765" y="777806"/>
          <a:chExt cx="2104650" cy="549039"/>
        </a:xfrm>
      </xdr:grpSpPr>
      <xdr:sp macro="" textlink="">
        <xdr:nvSpPr>
          <xdr:cNvPr id="7" name="Rectangle : coins arrondis 6">
            <a:extLst>
              <a:ext uri="{FF2B5EF4-FFF2-40B4-BE49-F238E27FC236}">
                <a16:creationId xmlns:a16="http://schemas.microsoft.com/office/drawing/2014/main" id="{094630A5-88FA-8076-F481-E534BCCDDFF4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8" name="Graphique 7" descr="Haltère avec un remplissage uni">
            <a:extLst>
              <a:ext uri="{FF2B5EF4-FFF2-40B4-BE49-F238E27FC236}">
                <a16:creationId xmlns:a16="http://schemas.microsoft.com/office/drawing/2014/main" id="{83E27BA8-666E-A85E-D972-E0707F7915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>
            <a:extLst>
              <a:ext uri="{96DAC541-7B7A-43D3-8B79-37D633B846F1}">
                <asvg:svgBlip xmlns:asvg="http://schemas.microsoft.com/office/drawing/2016/SVG/main" r:embed="rId38"/>
              </a:ext>
            </a:extLst>
          </a:blip>
          <a:srcRect/>
          <a:stretch/>
        </xdr:blipFill>
        <xdr:spPr>
          <a:xfrm>
            <a:off x="709376" y="871455"/>
            <a:ext cx="342428" cy="367249"/>
          </a:xfrm>
          <a:prstGeom prst="rect">
            <a:avLst/>
          </a:prstGeom>
        </xdr:spPr>
      </xdr:pic>
      <xdr:sp macro="" textlink="">
        <xdr:nvSpPr>
          <xdr:cNvPr id="9" name="ZoneTexte 8">
            <a:extLst>
              <a:ext uri="{FF2B5EF4-FFF2-40B4-BE49-F238E27FC236}">
                <a16:creationId xmlns:a16="http://schemas.microsoft.com/office/drawing/2014/main" id="{CCD69C5D-195F-7DB3-4FDC-187D07D00DD2}"/>
              </a:ext>
            </a:extLst>
          </xdr:cNvPr>
          <xdr:cNvSpPr txBox="1"/>
        </xdr:nvSpPr>
        <xdr:spPr>
          <a:xfrm>
            <a:off x="1203835" y="778413"/>
            <a:ext cx="1416580" cy="548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Bien-être et fitness</a:t>
            </a:r>
          </a:p>
        </xdr:txBody>
      </xdr:sp>
    </xdr:grpSp>
    <xdr:clientData/>
  </xdr:twoCellAnchor>
  <xdr:twoCellAnchor>
    <xdr:from>
      <xdr:col>2</xdr:col>
      <xdr:colOff>0</xdr:colOff>
      <xdr:row>24</xdr:row>
      <xdr:rowOff>6211</xdr:rowOff>
    </xdr:from>
    <xdr:to>
      <xdr:col>4</xdr:col>
      <xdr:colOff>676567</xdr:colOff>
      <xdr:row>26</xdr:row>
      <xdr:rowOff>183839</xdr:rowOff>
    </xdr:to>
    <xdr:grpSp>
      <xdr:nvGrpSpPr>
        <xdr:cNvPr id="10" name="Groupe 9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B591544D-1331-4B05-AB06-427401C8AE60}"/>
            </a:ext>
          </a:extLst>
        </xdr:cNvPr>
        <xdr:cNvGrpSpPr/>
      </xdr:nvGrpSpPr>
      <xdr:grpSpPr>
        <a:xfrm>
          <a:off x="538602" y="4553729"/>
          <a:ext cx="2360618" cy="544857"/>
          <a:chOff x="515765" y="777805"/>
          <a:chExt cx="2104650" cy="549040"/>
        </a:xfrm>
      </xdr:grpSpPr>
      <xdr:sp macro="" textlink="">
        <xdr:nvSpPr>
          <xdr:cNvPr id="11" name="Rectangle : coins arrondis 10">
            <a:extLst>
              <a:ext uri="{FF2B5EF4-FFF2-40B4-BE49-F238E27FC236}">
                <a16:creationId xmlns:a16="http://schemas.microsoft.com/office/drawing/2014/main" id="{2991748A-F0D1-614A-C747-DA7CA15D84E8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12" name="Graphique 11" descr="Bouée de sauvetage avec un remplissage uni">
            <a:extLst>
              <a:ext uri="{FF2B5EF4-FFF2-40B4-BE49-F238E27FC236}">
                <a16:creationId xmlns:a16="http://schemas.microsoft.com/office/drawing/2014/main" id="{9393B6F8-6C58-F324-FEE7-7A2E9DFFAC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>
            <a:extLst>
              <a:ext uri="{96DAC541-7B7A-43D3-8B79-37D633B846F1}">
                <asvg:svgBlip xmlns:asvg="http://schemas.microsoft.com/office/drawing/2016/SVG/main" r:embed="rId41"/>
              </a:ext>
            </a:extLst>
          </a:blip>
          <a:srcRect/>
          <a:stretch/>
        </xdr:blipFill>
        <xdr:spPr>
          <a:xfrm>
            <a:off x="709249" y="871113"/>
            <a:ext cx="342684" cy="367932"/>
          </a:xfrm>
          <a:prstGeom prst="rect">
            <a:avLst/>
          </a:prstGeom>
        </xdr:spPr>
      </xdr:pic>
      <xdr:sp macro="" textlink="">
        <xdr:nvSpPr>
          <xdr:cNvPr id="13" name="ZoneTexte 12">
            <a:extLst>
              <a:ext uri="{FF2B5EF4-FFF2-40B4-BE49-F238E27FC236}">
                <a16:creationId xmlns:a16="http://schemas.microsoft.com/office/drawing/2014/main" id="{CEDF8C5A-1856-D0DF-AE4B-66F0665114D4}"/>
              </a:ext>
            </a:extLst>
          </xdr:cNvPr>
          <xdr:cNvSpPr txBox="1"/>
        </xdr:nvSpPr>
        <xdr:spPr>
          <a:xfrm>
            <a:off x="1203835" y="777805"/>
            <a:ext cx="1416580" cy="5490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Piscine</a:t>
            </a:r>
            <a:r>
              <a:rPr lang="fr-MA" sz="1200" b="1" kern="1200" baseline="0">
                <a:latin typeface="Montserrat" panose="00000500000000000000" pitchFamily="2" charset="0"/>
              </a:rPr>
              <a:t> pour enfants</a:t>
            </a:r>
            <a:endParaRPr lang="fr-MA" sz="1200" b="1" kern="1200">
              <a:latin typeface="Montserrat" panose="00000500000000000000" pitchFamily="2" charset="0"/>
            </a:endParaRPr>
          </a:p>
        </xdr:txBody>
      </xdr:sp>
    </xdr:grpSp>
    <xdr:clientData/>
  </xdr:twoCellAnchor>
  <xdr:twoCellAnchor>
    <xdr:from>
      <xdr:col>8</xdr:col>
      <xdr:colOff>119150</xdr:colOff>
      <xdr:row>24</xdr:row>
      <xdr:rowOff>0</xdr:rowOff>
    </xdr:from>
    <xdr:to>
      <xdr:col>11</xdr:col>
      <xdr:colOff>0</xdr:colOff>
      <xdr:row>26</xdr:row>
      <xdr:rowOff>175859</xdr:rowOff>
    </xdr:to>
    <xdr:grpSp>
      <xdr:nvGrpSpPr>
        <xdr:cNvPr id="14" name="Groupe 13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C3C73F3F-FD48-4936-8A0B-6528A2DF608B}"/>
            </a:ext>
          </a:extLst>
        </xdr:cNvPr>
        <xdr:cNvGrpSpPr/>
      </xdr:nvGrpSpPr>
      <xdr:grpSpPr>
        <a:xfrm>
          <a:off x="5614302" y="4547518"/>
          <a:ext cx="2363746" cy="543088"/>
          <a:chOff x="515765" y="751095"/>
          <a:chExt cx="2104650" cy="575750"/>
        </a:xfrm>
      </xdr:grpSpPr>
      <xdr:sp macro="" textlink="">
        <xdr:nvSpPr>
          <xdr:cNvPr id="15" name="Rectangle : coins arrondis 14">
            <a:extLst>
              <a:ext uri="{FF2B5EF4-FFF2-40B4-BE49-F238E27FC236}">
                <a16:creationId xmlns:a16="http://schemas.microsoft.com/office/drawing/2014/main" id="{C0D255AE-5129-22E8-09BC-DEA64EB6C1F9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16" name="Graphique 15" descr="Sac de course avec un remplissage uni">
            <a:extLst>
              <a:ext uri="{FF2B5EF4-FFF2-40B4-BE49-F238E27FC236}">
                <a16:creationId xmlns:a16="http://schemas.microsoft.com/office/drawing/2014/main" id="{08AD2123-CDFC-D072-C438-73E05A7B3A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>
            <a:extLst>
              <a:ext uri="{96DAC541-7B7A-43D3-8B79-37D633B846F1}">
                <asvg:svgBlip xmlns:asvg="http://schemas.microsoft.com/office/drawing/2016/SVG/main" r:embed="rId44"/>
              </a:ext>
            </a:extLst>
          </a:blip>
          <a:srcRect/>
          <a:stretch/>
        </xdr:blipFill>
        <xdr:spPr>
          <a:xfrm>
            <a:off x="709248" y="871113"/>
            <a:ext cx="342685" cy="367932"/>
          </a:xfrm>
          <a:prstGeom prst="rect">
            <a:avLst/>
          </a:prstGeom>
        </xdr:spPr>
      </xdr:pic>
      <xdr:sp macro="" textlink="">
        <xdr:nvSpPr>
          <xdr:cNvPr id="17" name="ZoneTexte 16">
            <a:extLst>
              <a:ext uri="{FF2B5EF4-FFF2-40B4-BE49-F238E27FC236}">
                <a16:creationId xmlns:a16="http://schemas.microsoft.com/office/drawing/2014/main" id="{42E74EE9-64B4-F901-10EE-335B2E06D060}"/>
              </a:ext>
            </a:extLst>
          </xdr:cNvPr>
          <xdr:cNvSpPr txBox="1"/>
        </xdr:nvSpPr>
        <xdr:spPr>
          <a:xfrm>
            <a:off x="1203835" y="751095"/>
            <a:ext cx="1416580" cy="57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Boutique</a:t>
            </a:r>
          </a:p>
        </xdr:txBody>
      </xdr:sp>
    </xdr:grpSp>
    <xdr:clientData/>
  </xdr:twoCellAnchor>
  <xdr:twoCellAnchor>
    <xdr:from>
      <xdr:col>2</xdr:col>
      <xdr:colOff>0</xdr:colOff>
      <xdr:row>19</xdr:row>
      <xdr:rowOff>183839</xdr:rowOff>
    </xdr:from>
    <xdr:to>
      <xdr:col>4</xdr:col>
      <xdr:colOff>676567</xdr:colOff>
      <xdr:row>22</xdr:row>
      <xdr:rowOff>177627</xdr:rowOff>
    </xdr:to>
    <xdr:grpSp>
      <xdr:nvGrpSpPr>
        <xdr:cNvPr id="19" name="Groupe 18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4D0F0C44-2FD3-4EF6-896C-AA38A8C4F711}"/>
            </a:ext>
          </a:extLst>
        </xdr:cNvPr>
        <xdr:cNvGrpSpPr/>
      </xdr:nvGrpSpPr>
      <xdr:grpSpPr>
        <a:xfrm>
          <a:off x="538602" y="3813285"/>
          <a:ext cx="2360618" cy="544631"/>
          <a:chOff x="515765" y="751097"/>
          <a:chExt cx="2104650" cy="575749"/>
        </a:xfrm>
      </xdr:grpSpPr>
      <xdr:sp macro="" textlink="">
        <xdr:nvSpPr>
          <xdr:cNvPr id="23" name="Rectangle : coins arrondis 22">
            <a:extLst>
              <a:ext uri="{FF2B5EF4-FFF2-40B4-BE49-F238E27FC236}">
                <a16:creationId xmlns:a16="http://schemas.microsoft.com/office/drawing/2014/main" id="{27123582-CE6D-0D1B-53CA-A38F6D59E0C3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40" name="Graphique 39" descr="Classe avec un remplissage uni">
            <a:extLst>
              <a:ext uri="{FF2B5EF4-FFF2-40B4-BE49-F238E27FC236}">
                <a16:creationId xmlns:a16="http://schemas.microsoft.com/office/drawing/2014/main" id="{C5316ADC-2E6B-BCAF-B29F-83AECDAF8B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>
            <a:extLst>
              <a:ext uri="{96DAC541-7B7A-43D3-8B79-37D633B846F1}">
                <asvg:svgBlip xmlns:asvg="http://schemas.microsoft.com/office/drawing/2016/SVG/main" r:embed="rId47"/>
              </a:ext>
            </a:extLst>
          </a:blip>
          <a:srcRect/>
          <a:stretch/>
        </xdr:blipFill>
        <xdr:spPr>
          <a:xfrm>
            <a:off x="708664" y="873645"/>
            <a:ext cx="343855" cy="362870"/>
          </a:xfrm>
          <a:prstGeom prst="rect">
            <a:avLst/>
          </a:prstGeom>
        </xdr:spPr>
      </xdr:pic>
      <xdr:sp macro="" textlink="">
        <xdr:nvSpPr>
          <xdr:cNvPr id="41" name="ZoneTexte 40">
            <a:extLst>
              <a:ext uri="{FF2B5EF4-FFF2-40B4-BE49-F238E27FC236}">
                <a16:creationId xmlns:a16="http://schemas.microsoft.com/office/drawing/2014/main" id="{0AA6F5F3-978D-F241-7B3F-8048D776EE84}"/>
              </a:ext>
            </a:extLst>
          </xdr:cNvPr>
          <xdr:cNvSpPr txBox="1"/>
        </xdr:nvSpPr>
        <xdr:spPr>
          <a:xfrm>
            <a:off x="1203835" y="751097"/>
            <a:ext cx="1410306" cy="5757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100" b="1" kern="1200">
                <a:latin typeface="Montserrat" panose="00000500000000000000" pitchFamily="2" charset="0"/>
              </a:rPr>
              <a:t>Salle(s)</a:t>
            </a:r>
            <a:r>
              <a:rPr lang="fr-MA" sz="1100" b="1" kern="1200" baseline="0">
                <a:latin typeface="Montserrat" panose="00000500000000000000" pitchFamily="2" charset="0"/>
              </a:rPr>
              <a:t> de séminaires...</a:t>
            </a:r>
            <a:endParaRPr lang="fr-MA" sz="1100" b="1" kern="1200">
              <a:latin typeface="Montserrat" panose="00000500000000000000" pitchFamily="2" charset="0"/>
            </a:endParaRPr>
          </a:p>
        </xdr:txBody>
      </xdr:sp>
    </xdr:grpSp>
    <xdr:clientData/>
  </xdr:twoCellAnchor>
  <xdr:twoCellAnchor>
    <xdr:from>
      <xdr:col>8</xdr:col>
      <xdr:colOff>119150</xdr:colOff>
      <xdr:row>19</xdr:row>
      <xdr:rowOff>183839</xdr:rowOff>
    </xdr:from>
    <xdr:to>
      <xdr:col>11</xdr:col>
      <xdr:colOff>0</xdr:colOff>
      <xdr:row>22</xdr:row>
      <xdr:rowOff>177627</xdr:rowOff>
    </xdr:to>
    <xdr:grpSp>
      <xdr:nvGrpSpPr>
        <xdr:cNvPr id="42" name="Groupe 41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6FA8A9C-6D90-40C0-A9E2-3954BED7975B}"/>
            </a:ext>
          </a:extLst>
        </xdr:cNvPr>
        <xdr:cNvGrpSpPr/>
      </xdr:nvGrpSpPr>
      <xdr:grpSpPr>
        <a:xfrm>
          <a:off x="5614302" y="3813285"/>
          <a:ext cx="2363746" cy="544631"/>
          <a:chOff x="515765" y="751097"/>
          <a:chExt cx="2104650" cy="575748"/>
        </a:xfrm>
      </xdr:grpSpPr>
      <xdr:sp macro="" textlink="">
        <xdr:nvSpPr>
          <xdr:cNvPr id="43" name="Rectangle : coins arrondis 42">
            <a:extLst>
              <a:ext uri="{FF2B5EF4-FFF2-40B4-BE49-F238E27FC236}">
                <a16:creationId xmlns:a16="http://schemas.microsoft.com/office/drawing/2014/main" id="{CF49754B-C0ED-AC4F-692F-B0495A11BA98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44" name="Graphique 43" descr="Natation avec un remplissage uni">
            <a:extLst>
              <a:ext uri="{FF2B5EF4-FFF2-40B4-BE49-F238E27FC236}">
                <a16:creationId xmlns:a16="http://schemas.microsoft.com/office/drawing/2014/main" id="{6067D79C-F0DB-7BC7-E9D6-3310E94F84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>
            <a:extLst>
              <a:ext uri="{96DAC541-7B7A-43D3-8B79-37D633B846F1}">
                <asvg:svgBlip xmlns:asvg="http://schemas.microsoft.com/office/drawing/2016/SVG/main" r:embed="rId50"/>
              </a:ext>
            </a:extLst>
          </a:blip>
          <a:srcRect/>
          <a:stretch/>
        </xdr:blipFill>
        <xdr:spPr>
          <a:xfrm>
            <a:off x="713658" y="872361"/>
            <a:ext cx="333863" cy="365435"/>
          </a:xfrm>
          <a:prstGeom prst="rect">
            <a:avLst/>
          </a:prstGeom>
        </xdr:spPr>
      </xdr:pic>
      <xdr:sp macro="" textlink="">
        <xdr:nvSpPr>
          <xdr:cNvPr id="45" name="ZoneTexte 44">
            <a:extLst>
              <a:ext uri="{FF2B5EF4-FFF2-40B4-BE49-F238E27FC236}">
                <a16:creationId xmlns:a16="http://schemas.microsoft.com/office/drawing/2014/main" id="{C19C31CB-4DB4-A898-633D-753DDA204347}"/>
              </a:ext>
            </a:extLst>
          </xdr:cNvPr>
          <xdr:cNvSpPr txBox="1"/>
        </xdr:nvSpPr>
        <xdr:spPr>
          <a:xfrm>
            <a:off x="1203835" y="751097"/>
            <a:ext cx="1416580" cy="5757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Piscine extérieure</a:t>
            </a:r>
          </a:p>
        </xdr:txBody>
      </xdr:sp>
    </xdr:grpSp>
    <xdr:clientData/>
  </xdr:twoCellAnchor>
  <xdr:twoCellAnchor>
    <xdr:from>
      <xdr:col>5</xdr:col>
      <xdr:colOff>59070</xdr:colOff>
      <xdr:row>24</xdr:row>
      <xdr:rowOff>8875</xdr:rowOff>
    </xdr:from>
    <xdr:to>
      <xdr:col>7</xdr:col>
      <xdr:colOff>735636</xdr:colOff>
      <xdr:row>27</xdr:row>
      <xdr:rowOff>2664</xdr:rowOff>
    </xdr:to>
    <xdr:grpSp>
      <xdr:nvGrpSpPr>
        <xdr:cNvPr id="46" name="Groupe 4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BC67B107-94D4-46BE-BA30-2A84E128B053}"/>
            </a:ext>
          </a:extLst>
        </xdr:cNvPr>
        <xdr:cNvGrpSpPr/>
      </xdr:nvGrpSpPr>
      <xdr:grpSpPr>
        <a:xfrm>
          <a:off x="3063706" y="4556393"/>
          <a:ext cx="2360617" cy="544632"/>
          <a:chOff x="515765" y="759685"/>
          <a:chExt cx="2104650" cy="567160"/>
        </a:xfrm>
      </xdr:grpSpPr>
      <xdr:sp macro="" textlink="">
        <xdr:nvSpPr>
          <xdr:cNvPr id="47" name="Rectangle : coins arrondis 46">
            <a:extLst>
              <a:ext uri="{FF2B5EF4-FFF2-40B4-BE49-F238E27FC236}">
                <a16:creationId xmlns:a16="http://schemas.microsoft.com/office/drawing/2014/main" id="{EF6A676B-287F-A5B2-AE77-6EE42B4FD4A2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48" name="Graphique 47" descr="Masque de fête avec un remplissage uni">
            <a:extLst>
              <a:ext uri="{FF2B5EF4-FFF2-40B4-BE49-F238E27FC236}">
                <a16:creationId xmlns:a16="http://schemas.microsoft.com/office/drawing/2014/main" id="{78C7D0A9-1A5D-6F26-86D3-F4EFFB3E2E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>
            <a:extLst>
              <a:ext uri="{96DAC541-7B7A-43D3-8B79-37D633B846F1}">
                <asvg:svgBlip xmlns:asvg="http://schemas.microsoft.com/office/drawing/2016/SVG/main" r:embed="rId53"/>
              </a:ext>
            </a:extLst>
          </a:blip>
          <a:srcRect/>
          <a:stretch/>
        </xdr:blipFill>
        <xdr:spPr>
          <a:xfrm>
            <a:off x="709262" y="874271"/>
            <a:ext cx="342653" cy="361615"/>
          </a:xfrm>
          <a:prstGeom prst="rect">
            <a:avLst/>
          </a:prstGeom>
        </xdr:spPr>
      </xdr:pic>
      <xdr:sp macro="" textlink="">
        <xdr:nvSpPr>
          <xdr:cNvPr id="49" name="ZoneTexte 48">
            <a:extLst>
              <a:ext uri="{FF2B5EF4-FFF2-40B4-BE49-F238E27FC236}">
                <a16:creationId xmlns:a16="http://schemas.microsoft.com/office/drawing/2014/main" id="{1BDEBF40-AE19-1BA8-2EEF-553C90692418}"/>
              </a:ext>
            </a:extLst>
          </xdr:cNvPr>
          <xdr:cNvSpPr txBox="1"/>
        </xdr:nvSpPr>
        <xdr:spPr>
          <a:xfrm>
            <a:off x="1203835" y="759685"/>
            <a:ext cx="1416580" cy="5585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Autres animations</a:t>
            </a:r>
          </a:p>
        </xdr:txBody>
      </xdr:sp>
    </xdr:grpSp>
    <xdr:clientData/>
  </xdr:twoCellAnchor>
  <xdr:twoCellAnchor>
    <xdr:from>
      <xdr:col>2</xdr:col>
      <xdr:colOff>0</xdr:colOff>
      <xdr:row>28</xdr:row>
      <xdr:rowOff>6212</xdr:rowOff>
    </xdr:from>
    <xdr:to>
      <xdr:col>4</xdr:col>
      <xdr:colOff>676567</xdr:colOff>
      <xdr:row>31</xdr:row>
      <xdr:rowOff>0</xdr:rowOff>
    </xdr:to>
    <xdr:grpSp>
      <xdr:nvGrpSpPr>
        <xdr:cNvPr id="50" name="Groupe 49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62AF377D-9CDD-4BA3-A66A-9A885EE03ECC}"/>
            </a:ext>
          </a:extLst>
        </xdr:cNvPr>
        <xdr:cNvGrpSpPr/>
      </xdr:nvGrpSpPr>
      <xdr:grpSpPr>
        <a:xfrm>
          <a:off x="538602" y="5288188"/>
          <a:ext cx="2360618" cy="544631"/>
          <a:chOff x="515765" y="777806"/>
          <a:chExt cx="2104650" cy="549039"/>
        </a:xfrm>
      </xdr:grpSpPr>
      <xdr:sp macro="" textlink="">
        <xdr:nvSpPr>
          <xdr:cNvPr id="51" name="Rectangle : coins arrondis 50">
            <a:extLst>
              <a:ext uri="{FF2B5EF4-FFF2-40B4-BE49-F238E27FC236}">
                <a16:creationId xmlns:a16="http://schemas.microsoft.com/office/drawing/2014/main" id="{7B4C9454-C8EE-FA80-42CC-DEC87280E080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52" name="Graphique 51" descr="Dormir avec un remplissage uni">
            <a:extLst>
              <a:ext uri="{FF2B5EF4-FFF2-40B4-BE49-F238E27FC236}">
                <a16:creationId xmlns:a16="http://schemas.microsoft.com/office/drawing/2014/main" id="{FDF0AA6D-E06A-CB40-1590-485C966B24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>
            <a:extLst>
              <a:ext uri="{96DAC541-7B7A-43D3-8B79-37D633B846F1}">
                <asvg:svgBlip xmlns:asvg="http://schemas.microsoft.com/office/drawing/2016/SVG/main" r:embed="rId56"/>
              </a:ext>
            </a:extLst>
          </a:blip>
          <a:srcRect/>
          <a:stretch/>
        </xdr:blipFill>
        <xdr:spPr>
          <a:xfrm>
            <a:off x="711610" y="875790"/>
            <a:ext cx="337961" cy="358578"/>
          </a:xfrm>
          <a:prstGeom prst="rect">
            <a:avLst/>
          </a:prstGeom>
        </xdr:spPr>
      </xdr:pic>
      <xdr:sp macro="" textlink="">
        <xdr:nvSpPr>
          <xdr:cNvPr id="53" name="ZoneTexte 52">
            <a:extLst>
              <a:ext uri="{FF2B5EF4-FFF2-40B4-BE49-F238E27FC236}">
                <a16:creationId xmlns:a16="http://schemas.microsoft.com/office/drawing/2014/main" id="{A8F79BCB-0A06-50FB-4512-6054170787F7}"/>
              </a:ext>
            </a:extLst>
          </xdr:cNvPr>
          <xdr:cNvSpPr txBox="1"/>
        </xdr:nvSpPr>
        <xdr:spPr>
          <a:xfrm>
            <a:off x="1203836" y="798511"/>
            <a:ext cx="1361436" cy="50762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190" b="1" kern="1200">
                <a:latin typeface="Montserrat" panose="00000500000000000000" pitchFamily="2" charset="0"/>
              </a:rPr>
              <a:t>Espaces d'habitation</a:t>
            </a:r>
          </a:p>
        </xdr:txBody>
      </xdr:sp>
    </xdr:grpSp>
    <xdr:clientData/>
  </xdr:twoCellAnchor>
  <xdr:twoCellAnchor>
    <xdr:from>
      <xdr:col>5</xdr:col>
      <xdr:colOff>59070</xdr:colOff>
      <xdr:row>28</xdr:row>
      <xdr:rowOff>7993</xdr:rowOff>
    </xdr:from>
    <xdr:to>
      <xdr:col>7</xdr:col>
      <xdr:colOff>735636</xdr:colOff>
      <xdr:row>31</xdr:row>
      <xdr:rowOff>13</xdr:rowOff>
    </xdr:to>
    <xdr:grpSp>
      <xdr:nvGrpSpPr>
        <xdr:cNvPr id="54" name="Groupe 5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5038548D-B4BD-4E8A-A8C5-688BC3ECC2AB}"/>
            </a:ext>
          </a:extLst>
        </xdr:cNvPr>
        <xdr:cNvGrpSpPr/>
      </xdr:nvGrpSpPr>
      <xdr:grpSpPr>
        <a:xfrm>
          <a:off x="3063706" y="5289969"/>
          <a:ext cx="2360617" cy="542863"/>
          <a:chOff x="515765" y="771686"/>
          <a:chExt cx="2104650" cy="555160"/>
        </a:xfrm>
      </xdr:grpSpPr>
      <xdr:sp macro="" textlink="">
        <xdr:nvSpPr>
          <xdr:cNvPr id="55" name="Rectangle : coins arrondis 54">
            <a:extLst>
              <a:ext uri="{FF2B5EF4-FFF2-40B4-BE49-F238E27FC236}">
                <a16:creationId xmlns:a16="http://schemas.microsoft.com/office/drawing/2014/main" id="{E741DE26-F8F2-A4DA-5E9B-18DDF3362E6A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56" name="Graphique 55" descr="Baignoire avec un remplissage uni">
            <a:extLst>
              <a:ext uri="{FF2B5EF4-FFF2-40B4-BE49-F238E27FC236}">
                <a16:creationId xmlns:a16="http://schemas.microsoft.com/office/drawing/2014/main" id="{DC957836-7479-24B2-BACD-362EB55F9C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>
            <a:extLst>
              <a:ext uri="{96DAC541-7B7A-43D3-8B79-37D633B846F1}">
                <asvg:svgBlip xmlns:asvg="http://schemas.microsoft.com/office/drawing/2016/SVG/main" r:embed="rId59"/>
              </a:ext>
            </a:extLst>
          </a:blip>
          <a:srcRect/>
          <a:stretch/>
        </xdr:blipFill>
        <xdr:spPr>
          <a:xfrm>
            <a:off x="711600" y="871113"/>
            <a:ext cx="337981" cy="367932"/>
          </a:xfrm>
          <a:prstGeom prst="rect">
            <a:avLst/>
          </a:prstGeom>
        </xdr:spPr>
      </xdr:pic>
      <xdr:sp macro="" textlink="">
        <xdr:nvSpPr>
          <xdr:cNvPr id="57" name="ZoneTexte 56">
            <a:extLst>
              <a:ext uri="{FF2B5EF4-FFF2-40B4-BE49-F238E27FC236}">
                <a16:creationId xmlns:a16="http://schemas.microsoft.com/office/drawing/2014/main" id="{7190804D-0518-4410-5ED1-35FD5A3E80C9}"/>
              </a:ext>
            </a:extLst>
          </xdr:cNvPr>
          <xdr:cNvSpPr txBox="1"/>
        </xdr:nvSpPr>
        <xdr:spPr>
          <a:xfrm>
            <a:off x="1203835" y="771686"/>
            <a:ext cx="1416580" cy="5551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Salle</a:t>
            </a:r>
            <a:r>
              <a:rPr lang="fr-MA" sz="1200" b="1" kern="1200" baseline="0">
                <a:latin typeface="Montserrat" panose="00000500000000000000" pitchFamily="2" charset="0"/>
              </a:rPr>
              <a:t> de bain et toilettes</a:t>
            </a:r>
            <a:endParaRPr lang="fr-MA" sz="1200" b="1" kern="1200">
              <a:latin typeface="Montserrat" panose="00000500000000000000" pitchFamily="2" charset="0"/>
            </a:endParaRPr>
          </a:p>
        </xdr:txBody>
      </xdr:sp>
    </xdr:grpSp>
    <xdr:clientData/>
  </xdr:twoCellAnchor>
  <xdr:twoCellAnchor>
    <xdr:from>
      <xdr:col>2</xdr:col>
      <xdr:colOff>0</xdr:colOff>
      <xdr:row>31</xdr:row>
      <xdr:rowOff>183839</xdr:rowOff>
    </xdr:from>
    <xdr:to>
      <xdr:col>4</xdr:col>
      <xdr:colOff>676567</xdr:colOff>
      <xdr:row>34</xdr:row>
      <xdr:rowOff>177627</xdr:rowOff>
    </xdr:to>
    <xdr:grpSp>
      <xdr:nvGrpSpPr>
        <xdr:cNvPr id="58" name="Groupe 57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C0FE3495-1ED6-4028-BC6F-3A52F64B443C}"/>
            </a:ext>
          </a:extLst>
        </xdr:cNvPr>
        <xdr:cNvGrpSpPr/>
      </xdr:nvGrpSpPr>
      <xdr:grpSpPr>
        <a:xfrm>
          <a:off x="538602" y="6016658"/>
          <a:ext cx="2360618" cy="544632"/>
          <a:chOff x="515765" y="751095"/>
          <a:chExt cx="2104650" cy="575750"/>
        </a:xfrm>
      </xdr:grpSpPr>
      <xdr:sp macro="" textlink="">
        <xdr:nvSpPr>
          <xdr:cNvPr id="59" name="Rectangle : coins arrondis 58">
            <a:extLst>
              <a:ext uri="{FF2B5EF4-FFF2-40B4-BE49-F238E27FC236}">
                <a16:creationId xmlns:a16="http://schemas.microsoft.com/office/drawing/2014/main" id="{3ADBB841-4022-43B9-06AF-909735FB8779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60" name="Graphique 59" descr="Robinet qui fuit avec un remplissage uni">
            <a:extLst>
              <a:ext uri="{FF2B5EF4-FFF2-40B4-BE49-F238E27FC236}">
                <a16:creationId xmlns:a16="http://schemas.microsoft.com/office/drawing/2014/main" id="{D571F89A-B8A3-7118-9FEF-6AAF71604C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>
            <a:extLst>
              <a:ext uri="{96DAC541-7B7A-43D3-8B79-37D633B846F1}">
                <asvg:svgBlip xmlns:asvg="http://schemas.microsoft.com/office/drawing/2016/SVG/main" r:embed="rId62"/>
              </a:ext>
            </a:extLst>
          </a:blip>
          <a:srcRect/>
          <a:stretch/>
        </xdr:blipFill>
        <xdr:spPr>
          <a:xfrm>
            <a:off x="709248" y="871113"/>
            <a:ext cx="342685" cy="367932"/>
          </a:xfrm>
          <a:prstGeom prst="rect">
            <a:avLst/>
          </a:prstGeom>
        </xdr:spPr>
      </xdr:pic>
      <xdr:sp macro="" textlink="">
        <xdr:nvSpPr>
          <xdr:cNvPr id="61" name="ZoneTexte 60">
            <a:extLst>
              <a:ext uri="{FF2B5EF4-FFF2-40B4-BE49-F238E27FC236}">
                <a16:creationId xmlns:a16="http://schemas.microsoft.com/office/drawing/2014/main" id="{5CE7CA45-BEF8-8875-E5CC-3E9957330CEC}"/>
              </a:ext>
            </a:extLst>
          </xdr:cNvPr>
          <xdr:cNvSpPr txBox="1"/>
        </xdr:nvSpPr>
        <xdr:spPr>
          <a:xfrm>
            <a:off x="1203835" y="751095"/>
            <a:ext cx="1416580" cy="57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100" b="1" kern="1200">
                <a:latin typeface="Montserrat" panose="00000500000000000000" pitchFamily="2" charset="0"/>
              </a:rPr>
              <a:t>Electricité,</a:t>
            </a:r>
            <a:r>
              <a:rPr lang="fr-MA" sz="1100" b="1" kern="1200" baseline="0">
                <a:latin typeface="Montserrat" panose="00000500000000000000" pitchFamily="2" charset="0"/>
              </a:rPr>
              <a:t> eau et assainissement</a:t>
            </a:r>
            <a:endParaRPr lang="fr-MA" sz="1100" b="1" kern="1200">
              <a:latin typeface="Montserrat" panose="00000500000000000000" pitchFamily="2" charset="0"/>
            </a:endParaRPr>
          </a:p>
        </xdr:txBody>
      </xdr:sp>
    </xdr:grpSp>
    <xdr:clientData/>
  </xdr:twoCellAnchor>
  <xdr:twoCellAnchor>
    <xdr:from>
      <xdr:col>8</xdr:col>
      <xdr:colOff>119150</xdr:colOff>
      <xdr:row>28</xdr:row>
      <xdr:rowOff>0</xdr:rowOff>
    </xdr:from>
    <xdr:to>
      <xdr:col>11</xdr:col>
      <xdr:colOff>0</xdr:colOff>
      <xdr:row>30</xdr:row>
      <xdr:rowOff>175859</xdr:rowOff>
    </xdr:to>
    <xdr:grpSp>
      <xdr:nvGrpSpPr>
        <xdr:cNvPr id="62" name="Groupe 61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E7601C2-A118-4596-8DC9-2BBE3A9D799A}"/>
            </a:ext>
          </a:extLst>
        </xdr:cNvPr>
        <xdr:cNvGrpSpPr/>
      </xdr:nvGrpSpPr>
      <xdr:grpSpPr>
        <a:xfrm>
          <a:off x="5614302" y="5281976"/>
          <a:ext cx="2363746" cy="543088"/>
          <a:chOff x="515765" y="759685"/>
          <a:chExt cx="2104650" cy="567160"/>
        </a:xfrm>
      </xdr:grpSpPr>
      <xdr:sp macro="" textlink="">
        <xdr:nvSpPr>
          <xdr:cNvPr id="63" name="Rectangle : coins arrondis 62">
            <a:extLst>
              <a:ext uri="{FF2B5EF4-FFF2-40B4-BE49-F238E27FC236}">
                <a16:creationId xmlns:a16="http://schemas.microsoft.com/office/drawing/2014/main" id="{DA0AA284-DE15-A408-6EBE-375CBA6DDF5D}"/>
              </a:ext>
            </a:extLst>
          </xdr:cNvPr>
          <xdr:cNvSpPr/>
        </xdr:nvSpPr>
        <xdr:spPr>
          <a:xfrm>
            <a:off x="515765" y="777806"/>
            <a:ext cx="2104650" cy="549039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pic>
        <xdr:nvPicPr>
          <xdr:cNvPr id="70" name="Graphique 69" descr="Badge d'employé avec un remplissage uni">
            <a:extLst>
              <a:ext uri="{FF2B5EF4-FFF2-40B4-BE49-F238E27FC236}">
                <a16:creationId xmlns:a16="http://schemas.microsoft.com/office/drawing/2014/main" id="{0AE00FA9-C2E9-C594-587C-2AFD9123F0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4">
            <a:extLs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/>
        </xdr:blipFill>
        <xdr:spPr>
          <a:xfrm>
            <a:off x="709262" y="876057"/>
            <a:ext cx="342653" cy="358042"/>
          </a:xfrm>
          <a:prstGeom prst="rect">
            <a:avLst/>
          </a:prstGeom>
        </xdr:spPr>
      </xdr:pic>
      <xdr:sp macro="" textlink="">
        <xdr:nvSpPr>
          <xdr:cNvPr id="71" name="ZoneTexte 70">
            <a:extLst>
              <a:ext uri="{FF2B5EF4-FFF2-40B4-BE49-F238E27FC236}">
                <a16:creationId xmlns:a16="http://schemas.microsoft.com/office/drawing/2014/main" id="{2009AD7D-1346-0D1B-2B14-37BA6B6425DC}"/>
              </a:ext>
            </a:extLst>
          </xdr:cNvPr>
          <xdr:cNvSpPr txBox="1"/>
        </xdr:nvSpPr>
        <xdr:spPr>
          <a:xfrm>
            <a:off x="1203835" y="759685"/>
            <a:ext cx="1416580" cy="5585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200" b="1" kern="1200">
                <a:latin typeface="Montserrat" panose="00000500000000000000" pitchFamily="2" charset="0"/>
              </a:rPr>
              <a:t>Personnel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15</xdr:col>
      <xdr:colOff>636270</xdr:colOff>
      <xdr:row>19</xdr:row>
      <xdr:rowOff>402498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A8805BC-2865-4F3E-B542-E273C2AA3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182359</xdr:colOff>
      <xdr:row>1</xdr:row>
      <xdr:rowOff>84666</xdr:rowOff>
    </xdr:from>
    <xdr:to>
      <xdr:col>4</xdr:col>
      <xdr:colOff>439443</xdr:colOff>
      <xdr:row>5</xdr:row>
      <xdr:rowOff>206816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898E14-125D-48F3-99E6-B5115A448E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56679" y="267546"/>
          <a:ext cx="2207804" cy="94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180719</xdr:colOff>
      <xdr:row>24</xdr:row>
      <xdr:rowOff>60947</xdr:rowOff>
    </xdr:from>
    <xdr:to>
      <xdr:col>7</xdr:col>
      <xdr:colOff>600091</xdr:colOff>
      <xdr:row>27</xdr:row>
      <xdr:rowOff>92243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54974-D126-4B59-96DE-BFB0A6A6BB02}"/>
            </a:ext>
          </a:extLst>
        </xdr:cNvPr>
        <xdr:cNvGrpSpPr/>
      </xdr:nvGrpSpPr>
      <xdr:grpSpPr>
        <a:xfrm>
          <a:off x="3191106" y="4737331"/>
          <a:ext cx="2056037" cy="584528"/>
          <a:chOff x="179947" y="1266468"/>
          <a:chExt cx="1982997" cy="574848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4C7EA268-00DE-1632-7334-B4AD1698D76C}"/>
              </a:ext>
            </a:extLst>
          </xdr:cNvPr>
          <xdr:cNvSpPr/>
        </xdr:nvSpPr>
        <xdr:spPr>
          <a:xfrm>
            <a:off x="179947" y="1266468"/>
            <a:ext cx="1982997" cy="574848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4BE43838-B153-D781-63BA-0DF8362AB34A}"/>
              </a:ext>
            </a:extLst>
          </xdr:cNvPr>
          <xdr:cNvGrpSpPr/>
        </xdr:nvGrpSpPr>
        <xdr:grpSpPr>
          <a:xfrm>
            <a:off x="344844" y="1375548"/>
            <a:ext cx="1673227" cy="359637"/>
            <a:chOff x="344844" y="1375548"/>
            <a:chExt cx="1673227" cy="359637"/>
          </a:xfrm>
        </xdr:grpSpPr>
        <xdr:pic>
          <xdr:nvPicPr>
            <xdr:cNvPr id="6" name="Graphique 5" descr="Logement avec un remplissage uni">
              <a:extLst>
                <a:ext uri="{FF2B5EF4-FFF2-40B4-BE49-F238E27FC236}">
                  <a16:creationId xmlns:a16="http://schemas.microsoft.com/office/drawing/2014/main" id="{1D188B06-BE35-B3C7-0BDC-F7BAFF9B609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5548"/>
              <a:ext cx="357607" cy="359637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FBCD0C74-3C30-C912-E4C1-24BE894BAD62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Accueil</a:t>
              </a:r>
            </a:p>
          </xdr:txBody>
        </xdr:sp>
      </xdr:grpSp>
    </xdr:grpSp>
    <xdr:clientData/>
  </xdr:twoCellAnchor>
  <xdr:twoCellAnchor>
    <xdr:from>
      <xdr:col>2</xdr:col>
      <xdr:colOff>1994</xdr:colOff>
      <xdr:row>24</xdr:row>
      <xdr:rowOff>63255</xdr:rowOff>
    </xdr:from>
    <xdr:to>
      <xdr:col>4</xdr:col>
      <xdr:colOff>511795</xdr:colOff>
      <xdr:row>27</xdr:row>
      <xdr:rowOff>86125</xdr:rowOff>
    </xdr:to>
    <xdr:grpSp>
      <xdr:nvGrpSpPr>
        <xdr:cNvPr id="8" name="Group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AFC472-D1BB-4C18-A9C7-ACC0FD4E5020}"/>
            </a:ext>
          </a:extLst>
        </xdr:cNvPr>
        <xdr:cNvGrpSpPr/>
      </xdr:nvGrpSpPr>
      <xdr:grpSpPr>
        <a:xfrm>
          <a:off x="537830" y="4739639"/>
          <a:ext cx="2190759" cy="576102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AE12FAF9-46FA-7CAD-3045-7531DAC195BB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86A1B1B-D4E3-66B0-40C0-54F34081084A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06097CF3-1790-833C-D9F9-F4FB1235C5D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A056805E-C40E-945F-A086-30B71562499D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8</xdr:col>
      <xdr:colOff>361592</xdr:colOff>
      <xdr:row>24</xdr:row>
      <xdr:rowOff>65092</xdr:rowOff>
    </xdr:from>
    <xdr:to>
      <xdr:col>10</xdr:col>
      <xdr:colOff>778365</xdr:colOff>
      <xdr:row>27</xdr:row>
      <xdr:rowOff>84287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9771349F-80C3-41E8-AB38-F602B67CAA0F}"/>
            </a:ext>
          </a:extLst>
        </xdr:cNvPr>
        <xdr:cNvGrpSpPr/>
      </xdr:nvGrpSpPr>
      <xdr:grpSpPr>
        <a:xfrm>
          <a:off x="5830073" y="4741476"/>
          <a:ext cx="2095191" cy="572427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ADE87A15-4FD1-9EF2-8A09-A0FF872DCC4E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>
              <a:lumMod val="95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A4CCC97D-CB68-1C9B-6806-2BBE4E9B542C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2EF408DC-47F0-6D9D-C931-74640A1F689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CC40A40D-71E9-53DC-F842-6C1EFF3A093F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1</xdr:col>
      <xdr:colOff>264820</xdr:colOff>
      <xdr:row>8</xdr:row>
      <xdr:rowOff>2578</xdr:rowOff>
    </xdr:from>
    <xdr:to>
      <xdr:col>5</xdr:col>
      <xdr:colOff>820089</xdr:colOff>
      <xdr:row>12</xdr:row>
      <xdr:rowOff>0</xdr:rowOff>
    </xdr:to>
    <xdr:grpSp>
      <xdr:nvGrpSpPr>
        <xdr:cNvPr id="18" name="Groupe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8F3CB1A-89F0-40A2-BE2B-A265FAF84488}"/>
            </a:ext>
          </a:extLst>
        </xdr:cNvPr>
        <xdr:cNvGrpSpPr/>
      </xdr:nvGrpSpPr>
      <xdr:grpSpPr>
        <a:xfrm>
          <a:off x="535278" y="1613564"/>
          <a:ext cx="3295198" cy="790737"/>
          <a:chOff x="521213" y="1602092"/>
          <a:chExt cx="3156856" cy="740704"/>
        </a:xfrm>
      </xdr:grpSpPr>
      <xdr:sp macro="" textlink="">
        <xdr:nvSpPr>
          <xdr:cNvPr id="19" name="Rectangle : coins arrondis 18">
            <a:extLst>
              <a:ext uri="{FF2B5EF4-FFF2-40B4-BE49-F238E27FC236}">
                <a16:creationId xmlns:a16="http://schemas.microsoft.com/office/drawing/2014/main" id="{6CA776DA-B49B-62C5-F0E1-E1E27CE84877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20" name="ZoneTexte 19">
            <a:extLst>
              <a:ext uri="{FF2B5EF4-FFF2-40B4-BE49-F238E27FC236}">
                <a16:creationId xmlns:a16="http://schemas.microsoft.com/office/drawing/2014/main" id="{F9A9426E-DAB8-6C1C-2086-A3A4BA54F1AF}"/>
              </a:ext>
            </a:extLst>
          </xdr:cNvPr>
          <xdr:cNvSpPr txBox="1"/>
        </xdr:nvSpPr>
        <xdr:spPr>
          <a:xfrm>
            <a:off x="1661255" y="1602092"/>
            <a:ext cx="2016814" cy="7407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Catégorie</a:t>
            </a:r>
            <a:r>
              <a:rPr lang="fr-MA" sz="1400" b="1" kern="1200" baseline="0">
                <a:latin typeface="Montserrat" panose="00000500000000000000" pitchFamily="2" charset="0"/>
              </a:rPr>
              <a:t> 5 étoiles</a:t>
            </a:r>
            <a:endParaRPr lang="fr-MA" sz="1400" b="1" kern="1200">
              <a:latin typeface="Montserrat" panose="00000500000000000000" pitchFamily="2" charset="0"/>
            </a:endParaRPr>
          </a:p>
        </xdr:txBody>
      </xdr:sp>
      <xdr:pic>
        <xdr:nvPicPr>
          <xdr:cNvPr id="21" name="Graphique 20" descr="Étoile avec un remplissage uni">
            <a:extLst>
              <a:ext uri="{FF2B5EF4-FFF2-40B4-BE49-F238E27FC236}">
                <a16:creationId xmlns:a16="http://schemas.microsoft.com/office/drawing/2014/main" id="{9754E274-1CE1-E342-6E65-F84CB7C52D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rcRect/>
          <a:stretch/>
        </xdr:blipFill>
        <xdr:spPr>
          <a:xfrm>
            <a:off x="837916" y="1668686"/>
            <a:ext cx="608041" cy="60727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</xdr:colOff>
      <xdr:row>7</xdr:row>
      <xdr:rowOff>173679</xdr:rowOff>
    </xdr:from>
    <xdr:to>
      <xdr:col>10</xdr:col>
      <xdr:colOff>816280</xdr:colOff>
      <xdr:row>12</xdr:row>
      <xdr:rowOff>7620</xdr:rowOff>
    </xdr:to>
    <xdr:grpSp>
      <xdr:nvGrpSpPr>
        <xdr:cNvPr id="22" name="Groupe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AF2BCE3-0273-45BF-A9FC-41F2627CC41B}"/>
            </a:ext>
          </a:extLst>
        </xdr:cNvPr>
        <xdr:cNvGrpSpPr/>
      </xdr:nvGrpSpPr>
      <xdr:grpSpPr>
        <a:xfrm>
          <a:off x="4624193" y="1600254"/>
          <a:ext cx="3326286" cy="811667"/>
          <a:chOff x="521213" y="1604460"/>
          <a:chExt cx="3156856" cy="738335"/>
        </a:xfrm>
      </xdr:grpSpPr>
      <xdr:sp macro="" textlink="">
        <xdr:nvSpPr>
          <xdr:cNvPr id="23" name="Rectangle : coins arrondis 22">
            <a:extLst>
              <a:ext uri="{FF2B5EF4-FFF2-40B4-BE49-F238E27FC236}">
                <a16:creationId xmlns:a16="http://schemas.microsoft.com/office/drawing/2014/main" id="{04855743-9CD1-D22A-5F21-A8CAF4422454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24" name="ZoneTexte 23">
            <a:extLst>
              <a:ext uri="{FF2B5EF4-FFF2-40B4-BE49-F238E27FC236}">
                <a16:creationId xmlns:a16="http://schemas.microsoft.com/office/drawing/2014/main" id="{EC8CB7A1-3D50-AB08-B455-35B25E20B9A4}"/>
              </a:ext>
            </a:extLst>
          </xdr:cNvPr>
          <xdr:cNvSpPr txBox="1"/>
        </xdr:nvSpPr>
        <xdr:spPr>
          <a:xfrm>
            <a:off x="1661255" y="1789043"/>
            <a:ext cx="2016814" cy="36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Catégorie 4 étoiles</a:t>
            </a:r>
          </a:p>
        </xdr:txBody>
      </xdr:sp>
      <xdr:pic>
        <xdr:nvPicPr>
          <xdr:cNvPr id="25" name="Graphique 24" descr="Étoile avec un remplissage uni">
            <a:extLst>
              <a:ext uri="{FF2B5EF4-FFF2-40B4-BE49-F238E27FC236}">
                <a16:creationId xmlns:a16="http://schemas.microsoft.com/office/drawing/2014/main" id="{425A7791-E3E9-C3B7-74D9-4A70817B24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rcRect/>
          <a:stretch/>
        </xdr:blipFill>
        <xdr:spPr>
          <a:xfrm>
            <a:off x="837917" y="1676917"/>
            <a:ext cx="608043" cy="59081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0</xdr:colOff>
      <xdr:row>13</xdr:row>
      <xdr:rowOff>1508</xdr:rowOff>
    </xdr:from>
    <xdr:to>
      <xdr:col>10</xdr:col>
      <xdr:colOff>820089</xdr:colOff>
      <xdr:row>16</xdr:row>
      <xdr:rowOff>169066</xdr:rowOff>
    </xdr:to>
    <xdr:grpSp>
      <xdr:nvGrpSpPr>
        <xdr:cNvPr id="26" name="Groupe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796D20B-6BBE-4774-AF6C-4249E193055E}"/>
            </a:ext>
          </a:extLst>
        </xdr:cNvPr>
        <xdr:cNvGrpSpPr/>
      </xdr:nvGrpSpPr>
      <xdr:grpSpPr>
        <a:xfrm>
          <a:off x="4624192" y="2618056"/>
          <a:ext cx="3322476" cy="720791"/>
          <a:chOff x="521213" y="1600302"/>
          <a:chExt cx="3156856" cy="744284"/>
        </a:xfrm>
      </xdr:grpSpPr>
      <xdr:sp macro="" textlink="">
        <xdr:nvSpPr>
          <xdr:cNvPr id="27" name="Rectangle : coins arrondis 26">
            <a:extLst>
              <a:ext uri="{FF2B5EF4-FFF2-40B4-BE49-F238E27FC236}">
                <a16:creationId xmlns:a16="http://schemas.microsoft.com/office/drawing/2014/main" id="{8F021D4E-4021-C20F-D6DF-B4EDC9F80595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28" name="ZoneTexte 27">
            <a:extLst>
              <a:ext uri="{FF2B5EF4-FFF2-40B4-BE49-F238E27FC236}">
                <a16:creationId xmlns:a16="http://schemas.microsoft.com/office/drawing/2014/main" id="{9804C5AC-8197-E095-C0B1-0B99D1F4AE52}"/>
              </a:ext>
            </a:extLst>
          </xdr:cNvPr>
          <xdr:cNvSpPr txBox="1"/>
        </xdr:nvSpPr>
        <xdr:spPr>
          <a:xfrm>
            <a:off x="1661255" y="1600302"/>
            <a:ext cx="2016814" cy="744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Catégories 2 étoiles</a:t>
            </a:r>
          </a:p>
        </xdr:txBody>
      </xdr:sp>
      <xdr:pic>
        <xdr:nvPicPr>
          <xdr:cNvPr id="29" name="Graphique 28" descr="Étoile avec un remplissage uni">
            <a:extLst>
              <a:ext uri="{FF2B5EF4-FFF2-40B4-BE49-F238E27FC236}">
                <a16:creationId xmlns:a16="http://schemas.microsoft.com/office/drawing/2014/main" id="{1EE9DD59-E064-9145-8D17-DA5C8D31B5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rcRect/>
          <a:stretch/>
        </xdr:blipFill>
        <xdr:spPr>
          <a:xfrm>
            <a:off x="862652" y="1668305"/>
            <a:ext cx="558569" cy="60804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264820</xdr:colOff>
      <xdr:row>13</xdr:row>
      <xdr:rowOff>3809</xdr:rowOff>
    </xdr:from>
    <xdr:to>
      <xdr:col>6</xdr:col>
      <xdr:colOff>0</xdr:colOff>
      <xdr:row>17</xdr:row>
      <xdr:rowOff>1906</xdr:rowOff>
    </xdr:to>
    <xdr:grpSp>
      <xdr:nvGrpSpPr>
        <xdr:cNvPr id="30" name="Groupe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4E9828C-DE99-46C9-8F2C-467163360015}"/>
            </a:ext>
          </a:extLst>
        </xdr:cNvPr>
        <xdr:cNvGrpSpPr/>
      </xdr:nvGrpSpPr>
      <xdr:grpSpPr>
        <a:xfrm>
          <a:off x="535278" y="2620357"/>
          <a:ext cx="3299078" cy="735741"/>
          <a:chOff x="521213" y="1604460"/>
          <a:chExt cx="3156856" cy="738335"/>
        </a:xfrm>
      </xdr:grpSpPr>
      <xdr:sp macro="" textlink="">
        <xdr:nvSpPr>
          <xdr:cNvPr id="31" name="Rectangle : coins arrondis 30">
            <a:extLst>
              <a:ext uri="{FF2B5EF4-FFF2-40B4-BE49-F238E27FC236}">
                <a16:creationId xmlns:a16="http://schemas.microsoft.com/office/drawing/2014/main" id="{7B93FDF3-4EEA-BDF1-B17E-C7D14E5E29CD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32" name="ZoneTexte 31">
            <a:extLst>
              <a:ext uri="{FF2B5EF4-FFF2-40B4-BE49-F238E27FC236}">
                <a16:creationId xmlns:a16="http://schemas.microsoft.com/office/drawing/2014/main" id="{0560E1B1-71D1-2539-0611-165B98A764EB}"/>
              </a:ext>
            </a:extLst>
          </xdr:cNvPr>
          <xdr:cNvSpPr txBox="1"/>
        </xdr:nvSpPr>
        <xdr:spPr>
          <a:xfrm>
            <a:off x="1661255" y="1789043"/>
            <a:ext cx="2016814" cy="36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Catégorie 3 étoiles</a:t>
            </a:r>
          </a:p>
        </xdr:txBody>
      </xdr:sp>
      <xdr:pic>
        <xdr:nvPicPr>
          <xdr:cNvPr id="33" name="Graphique 32" descr="Étoile avec un remplissage uni">
            <a:extLst>
              <a:ext uri="{FF2B5EF4-FFF2-40B4-BE49-F238E27FC236}">
                <a16:creationId xmlns:a16="http://schemas.microsoft.com/office/drawing/2014/main" id="{B3291341-929B-33F1-066C-83297ECC2E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rcRect/>
          <a:stretch/>
        </xdr:blipFill>
        <xdr:spPr>
          <a:xfrm>
            <a:off x="857997" y="1668305"/>
            <a:ext cx="567875" cy="60804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264820</xdr:colOff>
      <xdr:row>18</xdr:row>
      <xdr:rowOff>3809</xdr:rowOff>
    </xdr:from>
    <xdr:to>
      <xdr:col>6</xdr:col>
      <xdr:colOff>0</xdr:colOff>
      <xdr:row>22</xdr:row>
      <xdr:rowOff>1906</xdr:rowOff>
    </xdr:to>
    <xdr:grpSp>
      <xdr:nvGrpSpPr>
        <xdr:cNvPr id="38" name="Group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3BBB20A-71B4-4D41-B533-9402C822CE6F}"/>
            </a:ext>
          </a:extLst>
        </xdr:cNvPr>
        <xdr:cNvGrpSpPr/>
      </xdr:nvGrpSpPr>
      <xdr:grpSpPr>
        <a:xfrm>
          <a:off x="535278" y="3573727"/>
          <a:ext cx="3299078" cy="735741"/>
          <a:chOff x="521213" y="1604460"/>
          <a:chExt cx="3156856" cy="738335"/>
        </a:xfrm>
      </xdr:grpSpPr>
      <xdr:sp macro="" textlink="">
        <xdr:nvSpPr>
          <xdr:cNvPr id="39" name="Rectangle : coins arrondis 38">
            <a:extLst>
              <a:ext uri="{FF2B5EF4-FFF2-40B4-BE49-F238E27FC236}">
                <a16:creationId xmlns:a16="http://schemas.microsoft.com/office/drawing/2014/main" id="{5FEAC067-5D94-42B9-C798-9A83D2A0DA6C}"/>
              </a:ext>
            </a:extLst>
          </xdr:cNvPr>
          <xdr:cNvSpPr/>
        </xdr:nvSpPr>
        <xdr:spPr>
          <a:xfrm>
            <a:off x="521213" y="1604460"/>
            <a:ext cx="3156265" cy="738335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sp macro="" textlink="">
        <xdr:nvSpPr>
          <xdr:cNvPr id="40" name="ZoneTexte 39">
            <a:extLst>
              <a:ext uri="{FF2B5EF4-FFF2-40B4-BE49-F238E27FC236}">
                <a16:creationId xmlns:a16="http://schemas.microsoft.com/office/drawing/2014/main" id="{04A645C5-649D-29E3-57C4-3950056C84CD}"/>
              </a:ext>
            </a:extLst>
          </xdr:cNvPr>
          <xdr:cNvSpPr txBox="1"/>
        </xdr:nvSpPr>
        <xdr:spPr>
          <a:xfrm>
            <a:off x="1661255" y="1789043"/>
            <a:ext cx="2016814" cy="36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MA" sz="1400" b="1" kern="1200">
                <a:latin typeface="Montserrat" panose="00000500000000000000" pitchFamily="2" charset="0"/>
              </a:rPr>
              <a:t>catégorie 1 étoile</a:t>
            </a:r>
          </a:p>
        </xdr:txBody>
      </xdr:sp>
      <xdr:pic>
        <xdr:nvPicPr>
          <xdr:cNvPr id="41" name="Graphique 40" descr="Étoile avec un remplissage uni">
            <a:extLst>
              <a:ext uri="{FF2B5EF4-FFF2-40B4-BE49-F238E27FC236}">
                <a16:creationId xmlns:a16="http://schemas.microsoft.com/office/drawing/2014/main" id="{14A56B47-33C4-053C-3AA9-02E391CC8F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rcRect/>
          <a:stretch/>
        </xdr:blipFill>
        <xdr:spPr>
          <a:xfrm>
            <a:off x="857997" y="1668305"/>
            <a:ext cx="567875" cy="60804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71D2FCA-66C4-44C2-BA24-9B5EA5799D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3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1994</xdr:colOff>
      <xdr:row>22</xdr:row>
      <xdr:rowOff>55635</xdr:rowOff>
    </xdr:from>
    <xdr:to>
      <xdr:col>4</xdr:col>
      <xdr:colOff>511795</xdr:colOff>
      <xdr:row>25</xdr:row>
      <xdr:rowOff>91840</xdr:rowOff>
    </xdr:to>
    <xdr:grpSp>
      <xdr:nvGrpSpPr>
        <xdr:cNvPr id="8" name="Group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7C5C00-1D9B-454E-859C-270BD0C619B9}"/>
            </a:ext>
          </a:extLst>
        </xdr:cNvPr>
        <xdr:cNvGrpSpPr/>
      </xdr:nvGrpSpPr>
      <xdr:grpSpPr>
        <a:xfrm>
          <a:off x="537830" y="4551087"/>
          <a:ext cx="2190759" cy="589438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F458A796-FA47-CFC2-7F5E-9A327FEB7FC9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ysClr val="window" lastClr="FFFFFF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C78099C8-BDC0-DF81-C64C-94BD2890FD18}"/>
              </a:ext>
            </a:extLst>
          </xdr:cNvPr>
          <xdr:cNvGrpSpPr/>
        </xdr:nvGrpSpPr>
        <xdr:grpSpPr>
          <a:xfrm>
            <a:off x="344844" y="1374861"/>
            <a:ext cx="1673227" cy="361009"/>
            <a:chOff x="344844" y="1374861"/>
            <a:chExt cx="1673227" cy="361009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7E150217-F953-4613-9BD7-C71B09982ED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861"/>
              <a:ext cx="357607" cy="361009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EBF9E703-329B-D95D-89A5-0B17EF293FF5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8</xdr:col>
      <xdr:colOff>361592</xdr:colOff>
      <xdr:row>22</xdr:row>
      <xdr:rowOff>59377</xdr:rowOff>
    </xdr:from>
    <xdr:to>
      <xdr:col>10</xdr:col>
      <xdr:colOff>778365</xdr:colOff>
      <xdr:row>25</xdr:row>
      <xdr:rowOff>88097</xdr:rowOff>
    </xdr:to>
    <xdr:grpSp>
      <xdr:nvGrpSpPr>
        <xdr:cNvPr id="13" name="Group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9FF5C-02AB-4265-8033-E79E14D323B9}"/>
            </a:ext>
          </a:extLst>
        </xdr:cNvPr>
        <xdr:cNvGrpSpPr/>
      </xdr:nvGrpSpPr>
      <xdr:grpSpPr>
        <a:xfrm>
          <a:off x="5871826" y="4554829"/>
          <a:ext cx="2095191" cy="581953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9D4FB38D-FDF6-4A68-C8AB-86508D31B57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321E713B-8399-4783-7FE7-A9BCFD61455A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6B1A371A-6BFA-6B81-F9A3-4F42751B712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F7B1E9BA-DD5E-3AC4-0397-36461880A52F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22</xdr:row>
      <xdr:rowOff>182561</xdr:rowOff>
    </xdr:from>
    <xdr:to>
      <xdr:col>6</xdr:col>
      <xdr:colOff>349250</xdr:colOff>
      <xdr:row>25</xdr:row>
      <xdr:rowOff>0</xdr:rowOff>
    </xdr:to>
    <xdr:sp macro="" textlink="">
      <xdr:nvSpPr>
        <xdr:cNvPr id="18" name="Rectangle : coins arrondis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C69F844-CA8C-5D54-1095-0B1EEEACE92E}"/>
            </a:ext>
          </a:extLst>
        </xdr:cNvPr>
        <xdr:cNvSpPr/>
      </xdr:nvSpPr>
      <xdr:spPr>
        <a:xfrm>
          <a:off x="2889250" y="4698999"/>
          <a:ext cx="1143000" cy="365126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444500</xdr:colOff>
      <xdr:row>22</xdr:row>
      <xdr:rowOff>182561</xdr:rowOff>
    </xdr:from>
    <xdr:to>
      <xdr:col>8</xdr:col>
      <xdr:colOff>0</xdr:colOff>
      <xdr:row>25</xdr:row>
      <xdr:rowOff>0</xdr:rowOff>
    </xdr:to>
    <xdr:sp macro="" textlink="">
      <xdr:nvSpPr>
        <xdr:cNvPr id="19" name="Rectangle : coins arrondis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73A4C-CEE0-1E8A-4414-14B539721802}"/>
            </a:ext>
          </a:extLst>
        </xdr:cNvPr>
        <xdr:cNvSpPr/>
      </xdr:nvSpPr>
      <xdr:spPr>
        <a:xfrm>
          <a:off x="4127500" y="4698999"/>
          <a:ext cx="1143000" cy="365126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46F40E-5344-415C-9CD0-DFD2D0D64E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0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368577</xdr:colOff>
      <xdr:row>59</xdr:row>
      <xdr:rowOff>55567</xdr:rowOff>
    </xdr:from>
    <xdr:to>
      <xdr:col>10</xdr:col>
      <xdr:colOff>782175</xdr:colOff>
      <xdr:row>62</xdr:row>
      <xdr:rowOff>88732</xdr:rowOff>
    </xdr:to>
    <xdr:grpSp>
      <xdr:nvGrpSpPr>
        <xdr:cNvPr id="13" name="Group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31165-4974-40EF-8B82-D9DF1C8A485F}"/>
            </a:ext>
          </a:extLst>
        </xdr:cNvPr>
        <xdr:cNvGrpSpPr/>
      </xdr:nvGrpSpPr>
      <xdr:grpSpPr>
        <a:xfrm>
          <a:off x="5878811" y="11882225"/>
          <a:ext cx="2092016" cy="586397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5063D7F8-CBAF-A03E-35A8-DA58F6FB7D6E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D82F93DE-2778-72B8-DE12-6FE062E3E432}"/>
              </a:ext>
            </a:extLst>
          </xdr:cNvPr>
          <xdr:cNvGrpSpPr/>
        </xdr:nvGrpSpPr>
        <xdr:grpSpPr>
          <a:xfrm>
            <a:off x="345404" y="1374976"/>
            <a:ext cx="1672667" cy="360778"/>
            <a:chOff x="345404" y="1374976"/>
            <a:chExt cx="1672667" cy="360778"/>
          </a:xfrm>
        </xdr:grpSpPr>
        <xdr:pic>
          <xdr:nvPicPr>
            <xdr:cNvPr id="16" name="Graphique 15">
              <a:extLst>
                <a:ext uri="{FF2B5EF4-FFF2-40B4-BE49-F238E27FC236}">
                  <a16:creationId xmlns:a16="http://schemas.microsoft.com/office/drawing/2014/main" id="{2F58679C-0400-8FAD-CCF1-D49AD6DB69B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 rot="10800000">
              <a:off x="345404" y="1374976"/>
              <a:ext cx="356486" cy="360778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FF3DF720-E1DD-29B4-166D-181F0B850C4E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1</xdr:col>
      <xdr:colOff>254756</xdr:colOff>
      <xdr:row>59</xdr:row>
      <xdr:rowOff>59377</xdr:rowOff>
    </xdr:from>
    <xdr:to>
      <xdr:col>4</xdr:col>
      <xdr:colOff>418677</xdr:colOff>
      <xdr:row>62</xdr:row>
      <xdr:rowOff>95717</xdr:rowOff>
    </xdr:to>
    <xdr:grpSp>
      <xdr:nvGrpSpPr>
        <xdr:cNvPr id="23" name="Groupe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0C52D5-F14E-4B32-538C-82E8D917B912}"/>
            </a:ext>
          </a:extLst>
        </xdr:cNvPr>
        <xdr:cNvGrpSpPr/>
      </xdr:nvGrpSpPr>
      <xdr:grpSpPr>
        <a:xfrm>
          <a:off x="532834" y="11886035"/>
          <a:ext cx="2100097" cy="589572"/>
          <a:chOff x="179886" y="1268633"/>
          <a:chExt cx="1983736" cy="573466"/>
        </a:xfrm>
      </xdr:grpSpPr>
      <xdr:sp macro="" textlink="">
        <xdr:nvSpPr>
          <xdr:cNvPr id="24" name="Rectangle : coins arrondis 23">
            <a:extLst>
              <a:ext uri="{FF2B5EF4-FFF2-40B4-BE49-F238E27FC236}">
                <a16:creationId xmlns:a16="http://schemas.microsoft.com/office/drawing/2014/main" id="{C3844DDC-E57D-1768-9745-A0349555DA06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25" name="Groupe 24">
            <a:extLst>
              <a:ext uri="{FF2B5EF4-FFF2-40B4-BE49-F238E27FC236}">
                <a16:creationId xmlns:a16="http://schemas.microsoft.com/office/drawing/2014/main" id="{B6246882-FF65-05FB-D5BD-AB5990A1EF6E}"/>
              </a:ext>
            </a:extLst>
          </xdr:cNvPr>
          <xdr:cNvGrpSpPr/>
        </xdr:nvGrpSpPr>
        <xdr:grpSpPr>
          <a:xfrm>
            <a:off x="344844" y="1377765"/>
            <a:ext cx="1673227" cy="355200"/>
            <a:chOff x="344844" y="1377765"/>
            <a:chExt cx="1673227" cy="355200"/>
          </a:xfrm>
        </xdr:grpSpPr>
        <xdr:pic>
          <xdr:nvPicPr>
            <xdr:cNvPr id="26" name="Graphique 25" descr="Flèche : droite avec un remplissage uni">
              <a:extLst>
                <a:ext uri="{FF2B5EF4-FFF2-40B4-BE49-F238E27FC236}">
                  <a16:creationId xmlns:a16="http://schemas.microsoft.com/office/drawing/2014/main" id="{D0CE41CD-48DA-B215-4416-17BB5FB2496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7765"/>
              <a:ext cx="357607" cy="355200"/>
            </a:xfrm>
            <a:prstGeom prst="rect">
              <a:avLst/>
            </a:prstGeom>
          </xdr:spPr>
        </xdr:pic>
        <xdr:sp macro="" textlink="">
          <xdr:nvSpPr>
            <xdr:cNvPr id="27" name="ZoneTexte 26">
              <a:extLst>
                <a:ext uri="{FF2B5EF4-FFF2-40B4-BE49-F238E27FC236}">
                  <a16:creationId xmlns:a16="http://schemas.microsoft.com/office/drawing/2014/main" id="{39381952-A537-84F9-ECD8-7F6DCA71DFB7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60</xdr:row>
      <xdr:rowOff>0</xdr:rowOff>
    </xdr:from>
    <xdr:to>
      <xdr:col>6</xdr:col>
      <xdr:colOff>347166</xdr:colOff>
      <xdr:row>61</xdr:row>
      <xdr:rowOff>172955</xdr:rowOff>
    </xdr:to>
    <xdr:sp macro="" textlink="">
      <xdr:nvSpPr>
        <xdr:cNvPr id="28" name="Rectangle : coins arrondis 2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0709216-5247-450B-89EA-3B63D666E250}"/>
            </a:ext>
          </a:extLst>
        </xdr:cNvPr>
        <xdr:cNvSpPr/>
      </xdr:nvSpPr>
      <xdr:spPr>
        <a:xfrm>
          <a:off x="2887579" y="4748463"/>
          <a:ext cx="1141250" cy="357439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442416</xdr:colOff>
      <xdr:row>60</xdr:row>
      <xdr:rowOff>0</xdr:rowOff>
    </xdr:from>
    <xdr:to>
      <xdr:col>7</xdr:col>
      <xdr:colOff>787832</xdr:colOff>
      <xdr:row>61</xdr:row>
      <xdr:rowOff>172955</xdr:rowOff>
    </xdr:to>
    <xdr:sp macro="" textlink="">
      <xdr:nvSpPr>
        <xdr:cNvPr id="29" name="Rectangle : coins arrondis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CBDE91-E467-44A2-BB44-EB54029560F7}"/>
            </a:ext>
          </a:extLst>
        </xdr:cNvPr>
        <xdr:cNvSpPr/>
      </xdr:nvSpPr>
      <xdr:spPr>
        <a:xfrm>
          <a:off x="4124079" y="4748463"/>
          <a:ext cx="1139500" cy="357439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210185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626CE1-2A42-40A1-8D36-1FA75BFAF1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30621" y="267105"/>
          <a:ext cx="2083979" cy="93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365402</xdr:colOff>
      <xdr:row>56</xdr:row>
      <xdr:rowOff>63187</xdr:rowOff>
    </xdr:from>
    <xdr:to>
      <xdr:col>10</xdr:col>
      <xdr:colOff>782175</xdr:colOff>
      <xdr:row>59</xdr:row>
      <xdr:rowOff>86192</xdr:rowOff>
    </xdr:to>
    <xdr:grpSp>
      <xdr:nvGrpSpPr>
        <xdr:cNvPr id="13" name="Group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3632C-351B-4C31-9B6F-42F077CD4AA5}"/>
            </a:ext>
          </a:extLst>
        </xdr:cNvPr>
        <xdr:cNvGrpSpPr/>
      </xdr:nvGrpSpPr>
      <xdr:grpSpPr>
        <a:xfrm>
          <a:off x="5875636" y="11844612"/>
          <a:ext cx="2095191" cy="576238"/>
          <a:chOff x="179886" y="1268633"/>
          <a:chExt cx="1983736" cy="573466"/>
        </a:xfrm>
      </xdr:grpSpPr>
      <xdr:sp macro="" textlink="">
        <xdr:nvSpPr>
          <xdr:cNvPr id="14" name="Rectangle : coins arrondis 13">
            <a:extLst>
              <a:ext uri="{FF2B5EF4-FFF2-40B4-BE49-F238E27FC236}">
                <a16:creationId xmlns:a16="http://schemas.microsoft.com/office/drawing/2014/main" id="{609CB974-8582-311B-A118-6524ECFE0AB9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2B212192-04BB-D3D0-7CA3-4A2D5D4CF52F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16" name="Graphique 15" descr="Flèche : courbe légère avec un remplissage uni">
              <a:extLst>
                <a:ext uri="{FF2B5EF4-FFF2-40B4-BE49-F238E27FC236}">
                  <a16:creationId xmlns:a16="http://schemas.microsoft.com/office/drawing/2014/main" id="{E2474680-D70D-311A-DC0C-628BF6D0EEB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17" name="ZoneTexte 16">
              <a:extLst>
                <a:ext uri="{FF2B5EF4-FFF2-40B4-BE49-F238E27FC236}">
                  <a16:creationId xmlns:a16="http://schemas.microsoft.com/office/drawing/2014/main" id="{22D55BDC-8FBD-2C9F-E835-1A177C52FC9D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56</xdr:row>
      <xdr:rowOff>55567</xdr:rowOff>
    </xdr:from>
    <xdr:to>
      <xdr:col>4</xdr:col>
      <xdr:colOff>416774</xdr:colOff>
      <xdr:row>59</xdr:row>
      <xdr:rowOff>91907</xdr:rowOff>
    </xdr:to>
    <xdr:grpSp>
      <xdr:nvGrpSpPr>
        <xdr:cNvPr id="18" name="Group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A9A450-CE68-155C-9DC7-AE8840FA5673}"/>
            </a:ext>
          </a:extLst>
        </xdr:cNvPr>
        <xdr:cNvGrpSpPr/>
      </xdr:nvGrpSpPr>
      <xdr:grpSpPr>
        <a:xfrm>
          <a:off x="535836" y="11836992"/>
          <a:ext cx="2095192" cy="589573"/>
          <a:chOff x="179886" y="1268633"/>
          <a:chExt cx="1983736" cy="573466"/>
        </a:xfrm>
      </xdr:grpSpPr>
      <xdr:sp macro="" textlink="">
        <xdr:nvSpPr>
          <xdr:cNvPr id="19" name="Rectangle : coins arrondis 18">
            <a:extLst>
              <a:ext uri="{FF2B5EF4-FFF2-40B4-BE49-F238E27FC236}">
                <a16:creationId xmlns:a16="http://schemas.microsoft.com/office/drawing/2014/main" id="{C3C1A49A-9D30-3E0E-F561-08DA9C12D1D2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20" name="Groupe 19">
            <a:extLst>
              <a:ext uri="{FF2B5EF4-FFF2-40B4-BE49-F238E27FC236}">
                <a16:creationId xmlns:a16="http://schemas.microsoft.com/office/drawing/2014/main" id="{1EEAF9D3-AD80-A96B-DE1F-42B7254840A1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21" name="Graphique 20" descr="Flèche : droite avec un remplissage uni">
              <a:extLst>
                <a:ext uri="{FF2B5EF4-FFF2-40B4-BE49-F238E27FC236}">
                  <a16:creationId xmlns:a16="http://schemas.microsoft.com/office/drawing/2014/main" id="{58317B98-7E29-578F-5F76-C09592D4481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22" name="ZoneTexte 21">
              <a:extLst>
                <a:ext uri="{FF2B5EF4-FFF2-40B4-BE49-F238E27FC236}">
                  <a16:creationId xmlns:a16="http://schemas.microsoft.com/office/drawing/2014/main" id="{51B146DA-48C0-11B2-DAF4-48372CF053A4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57</xdr:row>
      <xdr:rowOff>0</xdr:rowOff>
    </xdr:from>
    <xdr:to>
      <xdr:col>6</xdr:col>
      <xdr:colOff>346120</xdr:colOff>
      <xdr:row>58</xdr:row>
      <xdr:rowOff>171908</xdr:rowOff>
    </xdr:to>
    <xdr:sp macro="" textlink="">
      <xdr:nvSpPr>
        <xdr:cNvPr id="23" name="Rectangle : coins arrondis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1C61451-15FE-4C1C-B5F7-671B7874A9F5}"/>
            </a:ext>
          </a:extLst>
        </xdr:cNvPr>
        <xdr:cNvSpPr/>
      </xdr:nvSpPr>
      <xdr:spPr>
        <a:xfrm>
          <a:off x="2888974" y="9024730"/>
          <a:ext cx="1141250" cy="357439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57</xdr:row>
      <xdr:rowOff>0</xdr:rowOff>
    </xdr:from>
    <xdr:to>
      <xdr:col>7</xdr:col>
      <xdr:colOff>785739</xdr:colOff>
      <xdr:row>58</xdr:row>
      <xdr:rowOff>171908</xdr:rowOff>
    </xdr:to>
    <xdr:sp macro="" textlink="">
      <xdr:nvSpPr>
        <xdr:cNvPr id="24" name="Rectangle : coins arrondis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47C7D5-9AA0-468F-80FA-FE52BF455561}"/>
            </a:ext>
          </a:extLst>
        </xdr:cNvPr>
        <xdr:cNvSpPr/>
      </xdr:nvSpPr>
      <xdr:spPr>
        <a:xfrm>
          <a:off x="4125474" y="9024730"/>
          <a:ext cx="1139500" cy="357439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173446</xdr:colOff>
      <xdr:row>1</xdr:row>
      <xdr:rowOff>86130</xdr:rowOff>
    </xdr:from>
    <xdr:to>
      <xdr:col>4</xdr:col>
      <xdr:colOff>419100</xdr:colOff>
      <xdr:row>5</xdr:row>
      <xdr:rowOff>206375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5642A4-EE3E-4D86-B5BE-23D4ECEE21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18742"/>
        <a:stretch/>
      </xdr:blipFill>
      <xdr:spPr bwMode="auto">
        <a:xfrm>
          <a:off x="426811" y="269010"/>
          <a:ext cx="2087789" cy="9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361592</xdr:colOff>
      <xdr:row>45</xdr:row>
      <xdr:rowOff>59377</xdr:rowOff>
    </xdr:from>
    <xdr:to>
      <xdr:col>10</xdr:col>
      <xdr:colOff>778365</xdr:colOff>
      <xdr:row>48</xdr:row>
      <xdr:rowOff>88097</xdr:rowOff>
    </xdr:to>
    <xdr:grpSp>
      <xdr:nvGrpSpPr>
        <xdr:cNvPr id="3" name="Grou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BDB9C-95F5-4E5B-BBDA-F553CB4FDFC9}"/>
            </a:ext>
          </a:extLst>
        </xdr:cNvPr>
        <xdr:cNvGrpSpPr/>
      </xdr:nvGrpSpPr>
      <xdr:grpSpPr>
        <a:xfrm>
          <a:off x="5871826" y="9544363"/>
          <a:ext cx="2095191" cy="581953"/>
          <a:chOff x="179886" y="1268633"/>
          <a:chExt cx="1983736" cy="573466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A3F3E860-3EEE-CB7B-0989-55D9ABD44164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B14F7B5B-9F85-D005-9C38-6E3086CA7518}"/>
              </a:ext>
            </a:extLst>
          </xdr:cNvPr>
          <xdr:cNvGrpSpPr/>
        </xdr:nvGrpSpPr>
        <xdr:grpSpPr>
          <a:xfrm>
            <a:off x="344844" y="1374260"/>
            <a:ext cx="1673227" cy="362211"/>
            <a:chOff x="344844" y="1374260"/>
            <a:chExt cx="1673227" cy="362211"/>
          </a:xfrm>
        </xdr:grpSpPr>
        <xdr:pic>
          <xdr:nvPicPr>
            <xdr:cNvPr id="6" name="Graphique 5" descr="Flèche : courbe légère avec un remplissage uni">
              <a:extLst>
                <a:ext uri="{FF2B5EF4-FFF2-40B4-BE49-F238E27FC236}">
                  <a16:creationId xmlns:a16="http://schemas.microsoft.com/office/drawing/2014/main" id="{642E33EE-8927-F345-4B5F-485A5F42D0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rcRect/>
            <a:stretch/>
          </xdr:blipFill>
          <xdr:spPr>
            <a:xfrm>
              <a:off x="344844" y="1374260"/>
              <a:ext cx="357607" cy="362211"/>
            </a:xfrm>
            <a:prstGeom prst="rect">
              <a:avLst/>
            </a:prstGeom>
          </xdr:spPr>
        </xdr:pic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DC98EDD6-196D-2F5E-3931-299F61220CBA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Avancer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45</xdr:row>
      <xdr:rowOff>59377</xdr:rowOff>
    </xdr:from>
    <xdr:to>
      <xdr:col>4</xdr:col>
      <xdr:colOff>416774</xdr:colOff>
      <xdr:row>48</xdr:row>
      <xdr:rowOff>95717</xdr:rowOff>
    </xdr:to>
    <xdr:grpSp>
      <xdr:nvGrpSpPr>
        <xdr:cNvPr id="8" name="Grou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20624D-0935-45E6-ACB6-C9234FF4145F}"/>
            </a:ext>
          </a:extLst>
        </xdr:cNvPr>
        <xdr:cNvGrpSpPr/>
      </xdr:nvGrpSpPr>
      <xdr:grpSpPr>
        <a:xfrm>
          <a:off x="535836" y="9544363"/>
          <a:ext cx="2095192" cy="589573"/>
          <a:chOff x="179886" y="1268633"/>
          <a:chExt cx="1983736" cy="573466"/>
        </a:xfrm>
      </xdr:grpSpPr>
      <xdr:sp macro="" textlink="">
        <xdr:nvSpPr>
          <xdr:cNvPr id="9" name="Rectangle : coins arrondis 8">
            <a:extLst>
              <a:ext uri="{FF2B5EF4-FFF2-40B4-BE49-F238E27FC236}">
                <a16:creationId xmlns:a16="http://schemas.microsoft.com/office/drawing/2014/main" id="{BF4BE07C-CFFF-A0B2-4FA2-C75E5801C7A6}"/>
              </a:ext>
            </a:extLst>
          </xdr:cNvPr>
          <xdr:cNvSpPr/>
        </xdr:nvSpPr>
        <xdr:spPr>
          <a:xfrm>
            <a:off x="179886" y="1268633"/>
            <a:ext cx="1983736" cy="573466"/>
          </a:xfrm>
          <a:prstGeom prst="round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MA" sz="1100" kern="1200"/>
          </a:p>
        </xdr:txBody>
      </xdr:sp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697CD9F8-C7D3-47D7-9A82-4DE0E631B8C7}"/>
              </a:ext>
            </a:extLst>
          </xdr:cNvPr>
          <xdr:cNvGrpSpPr/>
        </xdr:nvGrpSpPr>
        <xdr:grpSpPr>
          <a:xfrm>
            <a:off x="344844" y="1378886"/>
            <a:ext cx="1673227" cy="352958"/>
            <a:chOff x="344844" y="1378886"/>
            <a:chExt cx="1673227" cy="352958"/>
          </a:xfrm>
        </xdr:grpSpPr>
        <xdr:pic>
          <xdr:nvPicPr>
            <xdr:cNvPr id="11" name="Graphique 10" descr="Flèche : droite avec un remplissage uni">
              <a:extLst>
                <a:ext uri="{FF2B5EF4-FFF2-40B4-BE49-F238E27FC236}">
                  <a16:creationId xmlns:a16="http://schemas.microsoft.com/office/drawing/2014/main" id="{8EADD80C-64E3-29C7-1A94-D4BE1D959CB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344844" y="1378886"/>
              <a:ext cx="357607" cy="352958"/>
            </a:xfrm>
            <a:prstGeom prst="rect">
              <a:avLst/>
            </a:prstGeom>
          </xdr:spPr>
        </xdr:pic>
        <xdr:sp macro="" textlink="">
          <xdr:nvSpPr>
            <xdr:cNvPr id="12" name="ZoneTexte 11">
              <a:extLst>
                <a:ext uri="{FF2B5EF4-FFF2-40B4-BE49-F238E27FC236}">
                  <a16:creationId xmlns:a16="http://schemas.microsoft.com/office/drawing/2014/main" id="{E97267C2-CE92-3B7C-C6FE-151D5B23566F}"/>
                </a:ext>
              </a:extLst>
            </xdr:cNvPr>
            <xdr:cNvSpPr txBox="1"/>
          </xdr:nvSpPr>
          <xdr:spPr>
            <a:xfrm>
              <a:off x="641915" y="1432010"/>
              <a:ext cx="1376156" cy="248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MA" sz="1400" kern="1200">
                  <a:latin typeface="Montserrat" panose="00000500000000000000" pitchFamily="2" charset="0"/>
                </a:rPr>
                <a:t>Revenir</a:t>
              </a:r>
            </a:p>
          </xdr:txBody>
        </xdr:sp>
      </xdr:grpSp>
    </xdr:grpSp>
    <xdr:clientData/>
  </xdr:twoCellAnchor>
  <xdr:twoCellAnchor>
    <xdr:from>
      <xdr:col>5</xdr:col>
      <xdr:colOff>0</xdr:colOff>
      <xdr:row>46</xdr:row>
      <xdr:rowOff>0</xdr:rowOff>
    </xdr:from>
    <xdr:to>
      <xdr:col>6</xdr:col>
      <xdr:colOff>346120</xdr:colOff>
      <xdr:row>47</xdr:row>
      <xdr:rowOff>171908</xdr:rowOff>
    </xdr:to>
    <xdr:sp macro="" textlink="">
      <xdr:nvSpPr>
        <xdr:cNvPr id="13" name="Rectangle :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8F17215-F7CE-48A3-B96D-01053C95FD54}"/>
            </a:ext>
          </a:extLst>
        </xdr:cNvPr>
        <xdr:cNvSpPr/>
      </xdr:nvSpPr>
      <xdr:spPr>
        <a:xfrm>
          <a:off x="2876550" y="11934825"/>
          <a:ext cx="1136695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200" b="1" kern="1200">
              <a:solidFill>
                <a:srgbClr val="009543"/>
              </a:solidFill>
              <a:latin typeface="Montserrat" panose="00000500000000000000" pitchFamily="2" charset="0"/>
            </a:rPr>
            <a:t>Accueil</a:t>
          </a:r>
        </a:p>
      </xdr:txBody>
    </xdr:sp>
    <xdr:clientData/>
  </xdr:twoCellAnchor>
  <xdr:twoCellAnchor>
    <xdr:from>
      <xdr:col>6</xdr:col>
      <xdr:colOff>441370</xdr:colOff>
      <xdr:row>46</xdr:row>
      <xdr:rowOff>0</xdr:rowOff>
    </xdr:from>
    <xdr:to>
      <xdr:col>7</xdr:col>
      <xdr:colOff>785739</xdr:colOff>
      <xdr:row>47</xdr:row>
      <xdr:rowOff>171908</xdr:rowOff>
    </xdr:to>
    <xdr:sp macro="" textlink="">
      <xdr:nvSpPr>
        <xdr:cNvPr id="14" name="Rectangle : coins arrondi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696FEA-C3FE-4A90-945A-AD9023E518AD}"/>
            </a:ext>
          </a:extLst>
        </xdr:cNvPr>
        <xdr:cNvSpPr/>
      </xdr:nvSpPr>
      <xdr:spPr>
        <a:xfrm>
          <a:off x="4104685" y="11934825"/>
          <a:ext cx="1134944" cy="3490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MA" sz="1100" b="1" kern="1200">
              <a:solidFill>
                <a:srgbClr val="009543"/>
              </a:solidFill>
              <a:latin typeface="Montserrat" panose="00000500000000000000" pitchFamily="2" charset="0"/>
            </a:rPr>
            <a:t>Chapitres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B4A340-D967-4362-8B49-61B6B8231184}" name="Tableau2" displayName="Tableau2" ref="A1:C20" totalsRowShown="0" headerRowDxfId="529" dataDxfId="528" headerRowCellStyle="Pourcentage" dataCellStyle="Pourcentage">
  <autoFilter ref="A1:C20" xr:uid="{85B4A340-D967-4362-8B49-61B6B8231184}">
    <filterColumn colId="1">
      <filters>
        <filter val="0%"/>
      </filters>
    </filterColumn>
  </autoFilter>
  <tableColumns count="3">
    <tableColumn id="1" xr3:uid="{E563FE2B-F915-4D3A-B483-E17145586385}" name="Bloc de critères" dataDxfId="527" dataCellStyle="Pourcentage"/>
    <tableColumn id="2" xr3:uid="{8D68E693-D5D9-4279-8BF8-1851A8AA8129}" name="Taux de conformité des critères majeurs" dataDxfId="526" dataCellStyle="Pourcentage">
      <calculatedColumnFormula array="1">_xlfn.XLOOKUP(A2,INDIRECT(Backend_1!$O$3&amp;"!"&amp;"a:a"),INDIRECT(Backend_1!$O$3 &amp;"!"&amp;"o:o"))</calculatedColumnFormula>
    </tableColumn>
    <tableColumn id="3" xr3:uid="{11012578-BAEA-4D7B-BCF8-675E2D8A3E34}" name="Taux de conformité des critères mineurs" dataDxfId="525" dataCellStyle="Pourcentage">
      <calculatedColumnFormula array="1">_xlfn.XLOOKUP(A2,INDIRECT(Backend_1!$O$3&amp;"!"&amp;"a:a"),INDIRECT(Backend_1!$O$3 &amp;"!"&amp;"q:q"))</calculatedColumnFormula>
    </tableColumn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2BEAB3-27BE-4A93-B9DE-9B1CBC35B159}" name="Tableau25" displayName="Tableau25" ref="A1:C20" totalsRowShown="0" headerRowDxfId="524" dataDxfId="523" headerRowCellStyle="Pourcentage" dataCellStyle="Pourcentage">
  <autoFilter ref="A1:C20" xr:uid="{85B4A340-D967-4362-8B49-61B6B8231184}">
    <filterColumn colId="2">
      <filters>
        <filter val="0%"/>
      </filters>
    </filterColumn>
  </autoFilter>
  <tableColumns count="3">
    <tableColumn id="1" xr3:uid="{6E2A3FD6-E706-4153-B54B-217243335966}" name="Bloc de critères" dataDxfId="522" dataCellStyle="Pourcentage"/>
    <tableColumn id="2" xr3:uid="{BB504282-012A-44EB-B4AA-4F95B5769184}" name="Taux de conformité des critères majeurs" dataDxfId="521" dataCellStyle="Pourcentage">
      <calculatedColumnFormula array="1">_xlfn.XLOOKUP(A2,INDIRECT(Backend_1!$O$3&amp;"!"&amp;"a:a"),INDIRECT(Backend_1!$O$3 &amp;"!"&amp;"o:o"))</calculatedColumnFormula>
    </tableColumn>
    <tableColumn id="3" xr3:uid="{3745051B-8B7D-4062-9210-239D020C66B0}" name="Taux de conformité des critères mineurs" dataDxfId="520" dataCellStyle="Pourcentage">
      <calculatedColumnFormula array="1">_xlfn.XLOOKUP(A2,INDIRECT(Backend_1!$O$3&amp;"!"&amp;"a:a"),INDIRECT(Backend_1!$O$3 &amp;"!"&amp;"q:q"))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76903D1-540E-45FB-A789-705848CB78D3}" name="Tableau1689" displayName="Tableau1689" ref="A1:D72" totalsRowShown="0" headerRowDxfId="519" dataDxfId="518" headerRowCellStyle="Pourcentage" dataCellStyle="Pourcentage">
  <autoFilter ref="A1:D72" xr:uid="{8137D7B3-244A-4673-A333-255F383F7A99}"/>
  <tableColumns count="4">
    <tableColumn id="1" xr3:uid="{780A4CF5-7290-44BA-9B29-C4DC33F192CF}" name="Bloc de critères" dataDxfId="517" dataCellStyle="Pourcentage"/>
    <tableColumn id="2" xr3:uid="{799F0E63-1AB3-42E5-A142-03D02F05B9EB}" name="Rubrique" dataDxfId="516" dataCellStyle="Pourcentage"/>
    <tableColumn id="3" xr3:uid="{2EC23307-9C37-49D0-9729-C1E6EDF80C42}" name="Taux de conformité des critères majeurs" dataDxfId="515" dataCellStyle="Pourcentage">
      <calculatedColumnFormula array="1">_xlfn.XLOOKUP(Tableau1689[[#This Row],[Bloc de critères]] &amp; Tableau1689[[#This Row],[Rubrique]], INDIRECT($O$3&amp;"!A:A") &amp; INDIRECT($O$3&amp;"!B:B"), INDIRECT($O$3&amp;"!F:F"), "Non trouvé")</calculatedColumnFormula>
    </tableColumn>
    <tableColumn id="4" xr3:uid="{74C3F889-2430-474E-B93F-0299FBF3CB66}" name="Taux de conformité des critères mineurs" dataDxfId="514" dataCellStyle="Pourcentage">
      <calculatedColumnFormula array="1">_xlfn.XLOOKUP(Tableau1689[[#This Row],[Bloc de critères]] &amp; Tableau1689[[#This Row],[Rubrique]], INDIRECT($O$3&amp;"!A:A") &amp; INDIRECT($O$3&amp;"!B:B"), INDIRECT($O$3&amp;"!J:J"), "Non trouvé")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10FEEF7-3F60-4DA1-974B-716CE5B7FD51}" name="Tableau168" displayName="Tableau168" ref="A1:D72" totalsRowShown="0" headerRowDxfId="513" dataDxfId="512" headerRowCellStyle="Pourcentage" dataCellStyle="Pourcentage">
  <autoFilter ref="A1:D72" xr:uid="{8137D7B3-244A-4673-A333-255F383F7A99}"/>
  <tableColumns count="4">
    <tableColumn id="1" xr3:uid="{48530ACE-D725-40E6-A87C-E528F29EFAA8}" name="Bloc de critères" dataDxfId="511" dataCellStyle="Pourcentage"/>
    <tableColumn id="2" xr3:uid="{2A3D961B-B573-4CD1-AC8B-E467D421B835}" name="Rubrique" dataDxfId="510" dataCellStyle="Pourcentage"/>
    <tableColumn id="3" xr3:uid="{5682BF9A-B5C2-421A-B51C-376C5F6896B8}" name="Taux de conformité des critères majeurs" dataDxfId="509" dataCellStyle="Pourcentage">
      <calculatedColumnFormula array="1">_xlfn.XLOOKUP(Tableau168[[#This Row],[Bloc de critères]] &amp; Tableau168[[#This Row],[Rubrique]], INDIRECT($O$3&amp;"!A:A") &amp; INDIRECT($O$3&amp;"!B:B"), INDIRECT($O$3&amp;"!F:F"), "Non trouvé")</calculatedColumnFormula>
    </tableColumn>
    <tableColumn id="4" xr3:uid="{5CF5FA32-5412-4925-9444-CA835CCDA562}" name="Taux de conformité des critères mineurs" dataDxfId="508" dataCellStyle="Pourcentage">
      <calculatedColumnFormula array="1">_xlfn.XLOOKUP(Tableau168[[#This Row],[Bloc de critères]] &amp; Tableau168[[#This Row],[Rubrique]], INDIRECT($O$3&amp;"!A:A") &amp; INDIRECT($O$3&amp;"!B:B"), INDIRECT($O$3&amp;"!J:J"), "Non trouvé")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849974-F7F9-4605-8BD6-1CC50372BF4F}" name="Tableau167" displayName="Tableau167" ref="A1:D72" totalsRowShown="0" headerRowDxfId="507" dataDxfId="506" headerRowCellStyle="Pourcentage" dataCellStyle="Pourcentage">
  <autoFilter ref="A1:D72" xr:uid="{8137D7B3-244A-4673-A333-255F383F7A99}"/>
  <tableColumns count="4">
    <tableColumn id="1" xr3:uid="{770D3BCC-DCD7-40EB-A8F0-DB46724B3DC0}" name="Bloc de critères" dataDxfId="505" dataCellStyle="Pourcentage"/>
    <tableColumn id="2" xr3:uid="{041D0817-3BF2-4DFB-9A5E-F25AB61A3D42}" name="Rubrique" dataDxfId="504" dataCellStyle="Pourcentage"/>
    <tableColumn id="3" xr3:uid="{7B01A35E-5628-49C8-8D68-FB6719EF21CE}" name="Taux de conformité des critères majeurs" dataDxfId="503" dataCellStyle="Pourcentage">
      <calculatedColumnFormula array="1">_xlfn.XLOOKUP(Tableau167[[#This Row],[Bloc de critères]] &amp; Tableau167[[#This Row],[Rubrique]], INDIRECT($O$3&amp;"!A:A") &amp; INDIRECT($O$3&amp;"!B:B"), INDIRECT($O$3&amp;"!F:F"))</calculatedColumnFormula>
    </tableColumn>
    <tableColumn id="4" xr3:uid="{7511F757-CB01-434F-84D5-99CF85BD84FE}" name="Taux de conformité des critères mineurs" dataDxfId="502" dataCellStyle="Pourcentage">
      <calculatedColumnFormula array="1">_xlfn.XLOOKUP(Tableau167[[#This Row],[Bloc de critères]] &amp; Tableau167[[#This Row],[Rubrique]], INDIRECT($O$3&amp;"!A:A") &amp; INDIRECT($O$3&amp;"!B:B"), INDIRECT($O$3&amp;"!J:J"), "Non trouvé")</calculatedColumnFormula>
    </tableColumn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2C5E9B-6AB7-468D-A731-A33962D6ED3F}" name="Tableau16" displayName="Tableau16" ref="A1:D72" totalsRowShown="0" headerRowDxfId="501" dataDxfId="500" headerRowCellStyle="Pourcentage" dataCellStyle="Pourcentage">
  <autoFilter ref="A1:D72" xr:uid="{8137D7B3-244A-4673-A333-255F383F7A99}"/>
  <tableColumns count="4">
    <tableColumn id="1" xr3:uid="{90030C73-F815-41E5-8A12-72CB5D43D74A}" name="Bloc de critères" dataDxfId="499" dataCellStyle="Pourcentage"/>
    <tableColumn id="2" xr3:uid="{CA3AE287-AF24-4919-92C2-D45C131681BC}" name="Rubrique" dataDxfId="498" dataCellStyle="Pourcentage"/>
    <tableColumn id="3" xr3:uid="{B8FDD727-D838-487A-8A11-9437BBA04318}" name="Taux de conformité des critères majeurs" dataDxfId="497" dataCellStyle="Pourcentage">
      <calculatedColumnFormula array="1">_xlfn.XLOOKUP(Tableau16[[#This Row],[Bloc de critères]] &amp; Tableau16[[#This Row],[Rubrique]], INDIRECT($O$3&amp;"!A:A") &amp; INDIRECT($O$3&amp;"!B:B"), INDIRECT($O$3&amp;"!F:F"))</calculatedColumnFormula>
    </tableColumn>
    <tableColumn id="4" xr3:uid="{ACFDF6E6-56B6-4661-9454-DFF9F07DC43F}" name="Taux de conformité des critères mineurs" dataDxfId="496" dataCellStyle="Pourcentage">
      <calculatedColumnFormula array="1">_xlfn.XLOOKUP(Tableau16[[#This Row],[Bloc de critères]] &amp; Tableau16[[#This Row],[Rubrique]], INDIRECT($O$3&amp;"!A:A") &amp; INDIRECT($O$3&amp;"!B:B"), INDIRECT($O$3&amp;"!J:J"))</calculatedColumnFormula>
    </tableColumn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37D7B3-244A-4673-A333-255F383F7A99}" name="Tableau1" displayName="Tableau1" ref="A1:D72" totalsRowShown="0" headerRowDxfId="495" dataDxfId="494" headerRowCellStyle="Pourcentage" dataCellStyle="Pourcentage">
  <autoFilter ref="A1:D72" xr:uid="{8137D7B3-244A-4673-A333-255F383F7A99}"/>
  <tableColumns count="4">
    <tableColumn id="1" xr3:uid="{DFA240F2-B6DB-4346-B7A6-22F74B6D6E02}" name="Bloc de critères" dataDxfId="493" dataCellStyle="Pourcentage"/>
    <tableColumn id="2" xr3:uid="{3DBFE0AC-D98A-4958-89A1-A1A9A8FF82E8}" name="Rubrique" dataDxfId="492" dataCellStyle="Pourcentage"/>
    <tableColumn id="3" xr3:uid="{5DB904A0-DEBD-46BB-94C7-93AA25849A3C}" name="Taux de conformité des critères majeurs" dataDxfId="491" dataCellStyle="Pourcentage">
      <calculatedColumnFormula array="1">_xlfn.XLOOKUP(Tableau1[[#This Row],[Bloc de critères]] &amp; Tableau1[[#This Row],[Rubrique]], INDIRECT($O$3&amp;"!A:A") &amp; INDIRECT($O$3&amp;"!B:B"), INDIRECT($O$3&amp;"!F:F"))</calculatedColumnFormula>
    </tableColumn>
    <tableColumn id="4" xr3:uid="{D8D3C60B-A338-46B0-A35A-D3F6521F3061}" name="Taux de conformité des critères mineurs" dataDxfId="490" dataCellStyle="Pourcentage">
      <calculatedColumnFormula array="1">_xlfn.XLOOKUP(Tableau1[[#This Row],[Bloc de critères]] &amp; Tableau1[[#This Row],[Rubrique]], INDIRECT($O$3&amp;"!A:A") &amp; INDIRECT($O$3&amp;"!B:B"), INDIRECT($O$3&amp;"!J:J"))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9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1F3A-553D-41E3-A9C1-278658735AEB}">
  <sheetPr codeName="Feuil3"/>
  <dimension ref="B2:M24"/>
  <sheetViews>
    <sheetView tabSelected="1" view="pageBreakPreview" zoomScale="75" zoomScaleNormal="108" zoomScaleSheetLayoutView="75" zoomScalePageLayoutView="73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10937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1"/>
      <c r="G6" s="21"/>
      <c r="H6" s="21"/>
      <c r="I6" s="20"/>
      <c r="J6" s="20"/>
      <c r="K6" s="21"/>
      <c r="L6" s="20"/>
      <c r="M6" s="24"/>
    </row>
    <row r="7" spans="2:13" ht="14.7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x14ac:dyDescent="0.3">
      <c r="B8" s="20"/>
      <c r="C8" s="20"/>
      <c r="D8" s="20"/>
      <c r="E8" s="28"/>
      <c r="F8" s="28"/>
      <c r="G8" s="28"/>
      <c r="H8" s="20"/>
      <c r="I8" s="20"/>
      <c r="J8" s="20"/>
      <c r="K8" s="20"/>
      <c r="L8" s="20"/>
    </row>
    <row r="9" spans="2:13" ht="14.7" customHeight="1" x14ac:dyDescent="0.3">
      <c r="B9" s="20"/>
      <c r="C9" s="127"/>
      <c r="D9" s="125"/>
      <c r="E9" s="126"/>
      <c r="F9" s="38"/>
      <c r="G9" s="38"/>
      <c r="H9" s="38"/>
      <c r="I9" s="38"/>
      <c r="J9" s="38"/>
      <c r="K9" s="38"/>
      <c r="L9" s="20"/>
    </row>
    <row r="10" spans="2:13" ht="14.7" customHeight="1" x14ac:dyDescent="0.3">
      <c r="B10" s="20"/>
      <c r="C10" s="127"/>
      <c r="D10" s="125"/>
      <c r="E10" s="126"/>
      <c r="F10" s="38"/>
      <c r="G10" s="38"/>
      <c r="H10" s="38"/>
      <c r="I10" s="38"/>
      <c r="J10" s="38"/>
      <c r="K10" s="38"/>
      <c r="L10" s="20"/>
    </row>
    <row r="11" spans="2:13" ht="16.8" x14ac:dyDescent="0.3">
      <c r="B11" s="20"/>
      <c r="C11" s="127"/>
      <c r="D11" s="125"/>
      <c r="E11" s="126"/>
      <c r="F11" s="38"/>
      <c r="G11" s="38"/>
      <c r="H11" s="38"/>
      <c r="I11" s="38"/>
      <c r="J11" s="38"/>
      <c r="K11" s="38"/>
      <c r="L11" s="20"/>
    </row>
    <row r="12" spans="2:13" ht="16.8" x14ac:dyDescent="0.3">
      <c r="B12" s="20"/>
      <c r="C12" s="127"/>
      <c r="D12" s="125"/>
      <c r="E12" s="126"/>
      <c r="F12" s="38"/>
      <c r="G12" s="38"/>
      <c r="H12" s="38"/>
      <c r="I12" s="38"/>
      <c r="J12" s="38"/>
      <c r="K12" s="38"/>
      <c r="L12" s="20"/>
    </row>
    <row r="13" spans="2:13" ht="16.8" x14ac:dyDescent="0.3">
      <c r="B13" s="20"/>
      <c r="C13" s="127"/>
      <c r="D13" s="125"/>
      <c r="E13" s="126"/>
      <c r="F13" s="38"/>
      <c r="G13" s="38"/>
      <c r="H13" s="38"/>
      <c r="I13" s="38"/>
      <c r="J13" s="38"/>
      <c r="K13" s="38"/>
      <c r="L13" s="20"/>
    </row>
    <row r="14" spans="2:13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2:13" x14ac:dyDescent="0.3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2:13" x14ac:dyDescent="0.3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2:12" x14ac:dyDescent="0.3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2:12" ht="17.100000000000001" customHeight="1" x14ac:dyDescent="0.3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2:12" x14ac:dyDescent="0.3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2:12" x14ac:dyDescent="0.3">
      <c r="B20" s="29"/>
      <c r="C20" s="29"/>
      <c r="D20" s="29"/>
      <c r="E20" s="29"/>
      <c r="F20" s="31"/>
      <c r="G20" s="31"/>
      <c r="H20" s="31"/>
      <c r="I20" s="30"/>
      <c r="J20" s="30"/>
      <c r="K20" s="30"/>
      <c r="L20" s="30"/>
    </row>
    <row r="21" spans="2:12" x14ac:dyDescent="0.3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3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2:12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</sheetData>
  <sheetProtection sheet="1" objects="1" scenarios="1"/>
  <mergeCells count="1">
    <mergeCell ref="F3:K5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7A95-1A23-4083-AB36-7F6A888B6F8A}">
  <sheetPr codeName="Feuil10"/>
  <dimension ref="B2:M42"/>
  <sheetViews>
    <sheetView showGridLines="0" tabSelected="1" showWhiteSpace="0" view="pageBreakPreview" topLeftCell="A2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148</v>
      </c>
      <c r="D8" s="203"/>
      <c r="E8" s="203"/>
      <c r="F8" s="203"/>
      <c r="G8" s="203"/>
      <c r="H8" s="20"/>
      <c r="I8" s="20"/>
      <c r="J8" s="20"/>
      <c r="K8" s="20"/>
      <c r="L8" s="20"/>
    </row>
    <row r="9" spans="2:13" ht="24" customHeight="1" x14ac:dyDescent="0.4">
      <c r="B9" s="20"/>
      <c r="C9" s="22" t="s">
        <v>149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150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350000000000001" customHeight="1" x14ac:dyDescent="0.3">
      <c r="B12" s="20"/>
      <c r="C12" s="198" t="s">
        <v>151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3"/>
      <c r="K13" s="90"/>
      <c r="L13" s="20"/>
    </row>
    <row r="14" spans="2:13" ht="16.350000000000001" customHeight="1" x14ac:dyDescent="0.3">
      <c r="B14" s="20"/>
      <c r="C14" s="198" t="s">
        <v>152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153</v>
      </c>
      <c r="D16" s="198"/>
      <c r="E16" s="198"/>
      <c r="F16" s="198"/>
      <c r="G16" s="87" t="s">
        <v>58</v>
      </c>
      <c r="H16" s="140">
        <v>0</v>
      </c>
      <c r="I16" s="140">
        <v>1</v>
      </c>
      <c r="J16" s="140">
        <v>2</v>
      </c>
      <c r="K16" s="88">
        <v>3</v>
      </c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2" t="b">
        <v>0</v>
      </c>
      <c r="K17" s="91" t="b">
        <v>0</v>
      </c>
      <c r="L17" s="20"/>
    </row>
    <row r="18" spans="2:12" ht="48" customHeight="1" x14ac:dyDescent="0.3">
      <c r="B18" s="20"/>
      <c r="C18" s="198" t="s">
        <v>154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90"/>
      <c r="L19" s="20"/>
    </row>
    <row r="20" spans="2:12" ht="16.350000000000001" customHeight="1" x14ac:dyDescent="0.3">
      <c r="B20" s="20"/>
      <c r="C20" s="198" t="s">
        <v>155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83"/>
      <c r="K21" s="90"/>
      <c r="L21" s="20"/>
    </row>
    <row r="22" spans="2:12" ht="16.350000000000001" customHeight="1" x14ac:dyDescent="0.3">
      <c r="B22" s="20"/>
      <c r="C22" s="198" t="s">
        <v>156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3"/>
      <c r="K23" s="90"/>
      <c r="L23" s="20"/>
    </row>
    <row r="24" spans="2:12" ht="16.2" x14ac:dyDescent="0.3">
      <c r="B24" s="20"/>
      <c r="C24" s="198" t="s">
        <v>157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83"/>
      <c r="K25" s="90"/>
      <c r="L25" s="20"/>
    </row>
    <row r="26" spans="2:12" ht="16.2" x14ac:dyDescent="0.3">
      <c r="B26" s="20"/>
      <c r="C26" s="197" t="s">
        <v>158</v>
      </c>
      <c r="D26" s="197"/>
      <c r="E26" s="197"/>
      <c r="F26" s="197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7"/>
      <c r="D27" s="197"/>
      <c r="E27" s="197"/>
      <c r="F27" s="197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159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94"/>
      <c r="K29" s="95"/>
      <c r="L29" s="20"/>
    </row>
    <row r="30" spans="2:12" ht="16.350000000000001" customHeight="1" x14ac:dyDescent="0.3">
      <c r="B30" s="20"/>
      <c r="C30" s="198" t="s">
        <v>160</v>
      </c>
      <c r="D30" s="198"/>
      <c r="E30" s="198"/>
      <c r="F30" s="198"/>
      <c r="G30" s="87" t="s">
        <v>58</v>
      </c>
      <c r="H30" s="140" t="s">
        <v>59</v>
      </c>
      <c r="I30" s="140" t="s">
        <v>60</v>
      </c>
      <c r="J30" s="140"/>
      <c r="K30" s="88"/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83"/>
      <c r="K31" s="90"/>
      <c r="L31" s="20"/>
    </row>
    <row r="32" spans="2:12" ht="24" customHeight="1" x14ac:dyDescent="0.4">
      <c r="B32" s="20"/>
      <c r="C32" s="22" t="s">
        <v>161</v>
      </c>
      <c r="D32" s="22"/>
      <c r="E32" s="22"/>
      <c r="F32" s="20"/>
      <c r="G32" s="20"/>
      <c r="H32" s="20"/>
      <c r="I32" s="20"/>
      <c r="J32" s="21"/>
      <c r="K32" s="21"/>
      <c r="L32" s="20"/>
    </row>
    <row r="33" spans="2:12" ht="16.350000000000001" customHeight="1" x14ac:dyDescent="0.3">
      <c r="B33" s="20"/>
      <c r="C33" s="198" t="s">
        <v>162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20"/>
    </row>
    <row r="35" spans="2:12" ht="16.2" x14ac:dyDescent="0.3">
      <c r="B35" s="20"/>
      <c r="C35" s="198" t="s">
        <v>163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94"/>
      <c r="K36" s="95"/>
      <c r="L36" s="20"/>
    </row>
    <row r="37" spans="2:12" x14ac:dyDescent="0.3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 x14ac:dyDescent="0.3">
      <c r="B38" s="29"/>
      <c r="C38" s="29"/>
      <c r="D38" s="29"/>
      <c r="E38" s="29"/>
      <c r="F38" s="31"/>
      <c r="G38" s="31"/>
      <c r="H38" s="31"/>
      <c r="I38" s="30"/>
      <c r="J38" s="30"/>
      <c r="K38" s="30"/>
      <c r="L38" s="30"/>
    </row>
    <row r="39" spans="2:12" x14ac:dyDescent="0.3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2" x14ac:dyDescent="0.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2:12" x14ac:dyDescent="0.3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sheetProtection sheet="1" objects="1" scenarios="1"/>
  <mergeCells count="15">
    <mergeCell ref="C30:F31"/>
    <mergeCell ref="C33:F34"/>
    <mergeCell ref="C35:F36"/>
    <mergeCell ref="C18:F19"/>
    <mergeCell ref="C20:F21"/>
    <mergeCell ref="C22:F23"/>
    <mergeCell ref="C24:F25"/>
    <mergeCell ref="C26:F27"/>
    <mergeCell ref="C28:F29"/>
    <mergeCell ref="C16:F17"/>
    <mergeCell ref="F3:K5"/>
    <mergeCell ref="C8:G8"/>
    <mergeCell ref="C10:F11"/>
    <mergeCell ref="C12:F13"/>
    <mergeCell ref="C14:F15"/>
  </mergeCells>
  <conditionalFormatting sqref="C12">
    <cfRule type="expression" dxfId="423" priority="2">
      <formula>AND($G$13:$I$13=FALSE)</formula>
    </cfRule>
  </conditionalFormatting>
  <conditionalFormatting sqref="C14">
    <cfRule type="expression" dxfId="422" priority="4">
      <formula>AND($G$15:$K$15=FALSE)</formula>
    </cfRule>
  </conditionalFormatting>
  <conditionalFormatting sqref="C16">
    <cfRule type="expression" dxfId="421" priority="1">
      <formula>AND($G$17:$K$17=FALSE)</formula>
    </cfRule>
  </conditionalFormatting>
  <conditionalFormatting sqref="C18">
    <cfRule type="expression" dxfId="420" priority="16">
      <formula>AND($G$19:$I$19=FALSE)</formula>
    </cfRule>
  </conditionalFormatting>
  <conditionalFormatting sqref="C22">
    <cfRule type="expression" dxfId="419" priority="13">
      <formula>AND($G$23:$I$23=FALSE)</formula>
    </cfRule>
  </conditionalFormatting>
  <conditionalFormatting sqref="C24">
    <cfRule type="expression" dxfId="418" priority="15">
      <formula>AND($G$25:$I$25=FALSE)</formula>
    </cfRule>
  </conditionalFormatting>
  <conditionalFormatting sqref="C26">
    <cfRule type="expression" dxfId="417" priority="12">
      <formula>AND($G$27:$K$27=FALSE)</formula>
    </cfRule>
  </conditionalFormatting>
  <conditionalFormatting sqref="C28">
    <cfRule type="expression" dxfId="416" priority="11">
      <formula>AND($G$29:$K$29=FALSE)</formula>
    </cfRule>
  </conditionalFormatting>
  <conditionalFormatting sqref="C33">
    <cfRule type="expression" dxfId="415" priority="9">
      <formula>AND($G$34:$K$34=FALSE)</formula>
    </cfRule>
  </conditionalFormatting>
  <conditionalFormatting sqref="C35">
    <cfRule type="expression" dxfId="414" priority="8">
      <formula>AND($G$36:$K$36=FALSE)</formula>
    </cfRule>
  </conditionalFormatting>
  <conditionalFormatting sqref="C10:F11">
    <cfRule type="expression" dxfId="413" priority="3">
      <formula>AND($G$11:$I$11=FALSE)</formula>
    </cfRule>
  </conditionalFormatting>
  <conditionalFormatting sqref="C20:F21">
    <cfRule type="expression" dxfId="412" priority="14">
      <formula>AND($G$21:$I$21=FALSE)</formula>
    </cfRule>
  </conditionalFormatting>
  <conditionalFormatting sqref="C30:F31">
    <cfRule type="expression" dxfId="411" priority="10">
      <formula>AND($G$31:$I$31=FALSE)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0D29-DCE4-4B35-B15F-2344B5F9C71B}">
  <sheetPr codeName="Feuil13"/>
  <dimension ref="B2:M61"/>
  <sheetViews>
    <sheetView showGridLines="0" tabSelected="1" showWhiteSpace="0" view="pageBreakPreview" zoomScale="107" zoomScaleNormal="115" zoomScaleSheetLayoutView="8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164</v>
      </c>
      <c r="D8" s="203"/>
      <c r="E8" s="203"/>
      <c r="F8" s="203"/>
      <c r="G8" s="203"/>
      <c r="H8" s="20"/>
      <c r="I8" s="20"/>
      <c r="J8" s="20"/>
      <c r="K8" s="20"/>
      <c r="L8" s="20"/>
    </row>
    <row r="9" spans="2:13" ht="18" x14ac:dyDescent="0.4">
      <c r="B9" s="20"/>
      <c r="C9" s="22" t="s">
        <v>165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350000000000001" customHeight="1" x14ac:dyDescent="0.3">
      <c r="B10" s="20"/>
      <c r="C10" s="198" t="s">
        <v>166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350000000000001" customHeight="1" x14ac:dyDescent="0.3">
      <c r="B12" s="20"/>
      <c r="C12" s="198" t="s">
        <v>167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3"/>
      <c r="K13" s="90"/>
      <c r="L13" s="20"/>
    </row>
    <row r="14" spans="2:13" ht="16.2" x14ac:dyDescent="0.3">
      <c r="B14" s="20"/>
      <c r="C14" s="198" t="s">
        <v>168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3"/>
      <c r="K15" s="90"/>
      <c r="L15" s="20"/>
    </row>
    <row r="16" spans="2:13" ht="16.2" x14ac:dyDescent="0.3">
      <c r="B16" s="20"/>
      <c r="C16" s="198" t="s">
        <v>169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88"/>
      <c r="L17" s="20"/>
    </row>
    <row r="18" spans="2:12" ht="16.2" x14ac:dyDescent="0.3">
      <c r="B18" s="20"/>
      <c r="C18" s="198" t="s">
        <v>170</v>
      </c>
      <c r="D18" s="198"/>
      <c r="E18" s="198"/>
      <c r="F18" s="198"/>
      <c r="G18" s="87" t="s">
        <v>58</v>
      </c>
      <c r="H18" s="140">
        <v>0</v>
      </c>
      <c r="I18" s="140">
        <v>1</v>
      </c>
      <c r="J18" s="140">
        <v>2</v>
      </c>
      <c r="K18" s="88">
        <v>3</v>
      </c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2" t="b">
        <v>0</v>
      </c>
      <c r="K19" s="124" t="b">
        <v>0</v>
      </c>
      <c r="L19" s="20"/>
    </row>
    <row r="20" spans="2:12" ht="16.350000000000001" customHeight="1" x14ac:dyDescent="0.3">
      <c r="B20" s="20"/>
      <c r="C20" s="198" t="s">
        <v>171</v>
      </c>
      <c r="D20" s="198"/>
      <c r="E20" s="198"/>
      <c r="F20" s="198"/>
      <c r="G20" s="87" t="s">
        <v>58</v>
      </c>
      <c r="H20" s="140">
        <v>0</v>
      </c>
      <c r="I20" s="140">
        <v>1</v>
      </c>
      <c r="J20" s="140">
        <v>2</v>
      </c>
      <c r="K20" s="88">
        <v>3</v>
      </c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82" t="b">
        <v>0</v>
      </c>
      <c r="K21" s="124" t="b">
        <v>0</v>
      </c>
      <c r="L21" s="20"/>
    </row>
    <row r="22" spans="2:12" ht="16.350000000000001" customHeight="1" x14ac:dyDescent="0.3">
      <c r="B22" s="20"/>
      <c r="C22" s="198" t="s">
        <v>172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90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3"/>
      <c r="K23" s="90"/>
      <c r="L23" s="20"/>
    </row>
    <row r="24" spans="2:12" ht="16.2" x14ac:dyDescent="0.3">
      <c r="B24" s="20"/>
      <c r="C24" s="198" t="s">
        <v>173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83"/>
      <c r="K25" s="90"/>
      <c r="L25" s="20"/>
    </row>
    <row r="26" spans="2:12" ht="24" customHeight="1" x14ac:dyDescent="0.4">
      <c r="B26" s="20"/>
      <c r="C26" s="22" t="s">
        <v>174</v>
      </c>
      <c r="D26" s="22"/>
      <c r="E26" s="22"/>
      <c r="F26" s="20"/>
      <c r="G26" s="20"/>
      <c r="H26" s="20"/>
      <c r="I26" s="20"/>
      <c r="J26" s="21"/>
      <c r="K26" s="21"/>
      <c r="L26" s="20"/>
    </row>
    <row r="27" spans="2:12" ht="16.350000000000001" customHeight="1" x14ac:dyDescent="0.3">
      <c r="B27" s="20"/>
      <c r="C27" s="198" t="s">
        <v>175</v>
      </c>
      <c r="D27" s="198"/>
      <c r="E27" s="198"/>
      <c r="F27" s="198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0"/>
    </row>
    <row r="28" spans="2:12" ht="14.7" customHeight="1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20"/>
    </row>
    <row r="29" spans="2:12" ht="16.350000000000001" customHeight="1" x14ac:dyDescent="0.3">
      <c r="B29" s="20"/>
      <c r="C29" s="198" t="s">
        <v>176</v>
      </c>
      <c r="D29" s="198"/>
      <c r="E29" s="198"/>
      <c r="F29" s="198"/>
      <c r="G29" s="87" t="s">
        <v>58</v>
      </c>
      <c r="H29" s="140">
        <v>0</v>
      </c>
      <c r="I29" s="140">
        <v>1</v>
      </c>
      <c r="J29" s="140">
        <v>2</v>
      </c>
      <c r="K29" s="88">
        <v>3</v>
      </c>
      <c r="L29" s="20"/>
    </row>
    <row r="30" spans="2:12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82" t="b">
        <v>0</v>
      </c>
      <c r="K30" s="91" t="b">
        <v>0</v>
      </c>
      <c r="L30" s="20"/>
    </row>
    <row r="31" spans="2:12" ht="16.2" x14ac:dyDescent="0.3">
      <c r="B31" s="20"/>
      <c r="C31" s="198" t="s">
        <v>177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16.2" x14ac:dyDescent="0.3">
      <c r="B33" s="20"/>
      <c r="C33" s="198" t="s">
        <v>178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3"/>
      <c r="K34" s="90"/>
      <c r="L34" s="20"/>
    </row>
    <row r="35" spans="2:12" ht="16.350000000000001" customHeight="1" x14ac:dyDescent="0.3">
      <c r="B35" s="20"/>
      <c r="C35" s="198" t="s">
        <v>179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3"/>
      <c r="K36" s="90"/>
      <c r="L36" s="20"/>
    </row>
    <row r="37" spans="2:12" ht="16.350000000000001" customHeight="1" x14ac:dyDescent="0.3">
      <c r="B37" s="20"/>
      <c r="C37" s="198" t="s">
        <v>180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83"/>
      <c r="K38" s="90"/>
      <c r="L38" s="20"/>
    </row>
    <row r="39" spans="2:12" ht="24" customHeight="1" x14ac:dyDescent="0.4">
      <c r="B39" s="20"/>
      <c r="C39" s="22" t="s">
        <v>181</v>
      </c>
      <c r="D39" s="22"/>
      <c r="E39" s="22"/>
      <c r="F39" s="20"/>
      <c r="G39" s="20"/>
      <c r="H39" s="20"/>
      <c r="I39" s="20"/>
      <c r="J39" s="21"/>
      <c r="K39" s="21"/>
      <c r="L39" s="20"/>
    </row>
    <row r="40" spans="2:12" ht="16.2" x14ac:dyDescent="0.4">
      <c r="B40" s="20"/>
      <c r="C40" s="198" t="s">
        <v>182</v>
      </c>
      <c r="D40" s="198"/>
      <c r="E40" s="198"/>
      <c r="F40" s="198"/>
      <c r="G40" s="92" t="s">
        <v>58</v>
      </c>
      <c r="H40" s="85" t="s">
        <v>59</v>
      </c>
      <c r="I40" s="85" t="s">
        <v>60</v>
      </c>
      <c r="J40" s="140"/>
      <c r="K40" s="88"/>
      <c r="L40" s="20"/>
    </row>
    <row r="41" spans="2:12" x14ac:dyDescent="0.3">
      <c r="B41" s="20"/>
      <c r="C41" s="198"/>
      <c r="D41" s="198"/>
      <c r="E41" s="198"/>
      <c r="F41" s="198"/>
      <c r="G41" s="93" t="b">
        <v>0</v>
      </c>
      <c r="H41" s="86" t="b">
        <v>0</v>
      </c>
      <c r="I41" s="86" t="b">
        <v>0</v>
      </c>
      <c r="J41" s="83"/>
      <c r="K41" s="90"/>
      <c r="L41" s="20"/>
    </row>
    <row r="42" spans="2:12" ht="16.2" x14ac:dyDescent="0.3">
      <c r="B42" s="20"/>
      <c r="C42" s="197" t="s">
        <v>183</v>
      </c>
      <c r="D42" s="197"/>
      <c r="E42" s="197"/>
      <c r="F42" s="197"/>
      <c r="G42" s="87" t="s">
        <v>58</v>
      </c>
      <c r="H42" s="140">
        <v>0</v>
      </c>
      <c r="I42" s="140">
        <v>1</v>
      </c>
      <c r="J42" s="140">
        <v>2</v>
      </c>
      <c r="K42" s="88">
        <v>3</v>
      </c>
      <c r="L42" s="20"/>
    </row>
    <row r="43" spans="2:12" ht="14.7" customHeight="1" x14ac:dyDescent="0.3">
      <c r="B43" s="20"/>
      <c r="C43" s="197"/>
      <c r="D43" s="197"/>
      <c r="E43" s="197"/>
      <c r="F43" s="197"/>
      <c r="G43" s="89" t="b">
        <v>0</v>
      </c>
      <c r="H43" s="82" t="b">
        <v>0</v>
      </c>
      <c r="I43" s="82" t="b">
        <v>0</v>
      </c>
      <c r="J43" s="82" t="b">
        <v>0</v>
      </c>
      <c r="K43" s="91" t="b">
        <v>0</v>
      </c>
      <c r="L43" s="20"/>
    </row>
    <row r="44" spans="2:12" ht="16.2" x14ac:dyDescent="0.3">
      <c r="B44" s="20"/>
      <c r="C44" s="197" t="s">
        <v>184</v>
      </c>
      <c r="D44" s="197"/>
      <c r="E44" s="197"/>
      <c r="F44" s="197"/>
      <c r="G44" s="87" t="s">
        <v>58</v>
      </c>
      <c r="H44" s="140">
        <v>0</v>
      </c>
      <c r="I44" s="140">
        <v>1</v>
      </c>
      <c r="J44" s="140">
        <v>2</v>
      </c>
      <c r="K44" s="88">
        <v>3</v>
      </c>
      <c r="L44" s="20"/>
    </row>
    <row r="45" spans="2:12" ht="14.7" customHeight="1" x14ac:dyDescent="0.3">
      <c r="B45" s="20"/>
      <c r="C45" s="197"/>
      <c r="D45" s="197"/>
      <c r="E45" s="197"/>
      <c r="F45" s="197"/>
      <c r="G45" s="89" t="b">
        <v>0</v>
      </c>
      <c r="H45" s="82" t="b">
        <v>0</v>
      </c>
      <c r="I45" s="82" t="b">
        <v>0</v>
      </c>
      <c r="J45" s="82" t="b">
        <v>0</v>
      </c>
      <c r="K45" s="91" t="b">
        <v>0</v>
      </c>
      <c r="L45" s="20"/>
    </row>
    <row r="46" spans="2:12" ht="16.350000000000001" customHeight="1" x14ac:dyDescent="0.3">
      <c r="B46" s="20"/>
      <c r="C46" s="207" t="s">
        <v>185</v>
      </c>
      <c r="D46" s="207"/>
      <c r="E46" s="207"/>
      <c r="F46" s="207"/>
      <c r="G46" s="87" t="s">
        <v>58</v>
      </c>
      <c r="H46" s="140" t="s">
        <v>59</v>
      </c>
      <c r="I46" s="140" t="s">
        <v>60</v>
      </c>
      <c r="J46" s="140"/>
      <c r="K46" s="88"/>
      <c r="L46" s="20"/>
    </row>
    <row r="47" spans="2:12" ht="14.7" customHeight="1" x14ac:dyDescent="0.3">
      <c r="B47" s="20"/>
      <c r="C47" s="207"/>
      <c r="D47" s="207"/>
      <c r="E47" s="207"/>
      <c r="F47" s="207"/>
      <c r="G47" s="89" t="b">
        <v>0</v>
      </c>
      <c r="H47" s="82" t="b">
        <v>0</v>
      </c>
      <c r="I47" s="82" t="b">
        <v>0</v>
      </c>
      <c r="J47" s="83"/>
      <c r="K47" s="90"/>
      <c r="L47" s="20"/>
    </row>
    <row r="48" spans="2:12" ht="16.2" x14ac:dyDescent="0.4">
      <c r="B48" s="20"/>
      <c r="C48" s="198" t="s">
        <v>186</v>
      </c>
      <c r="D48" s="198"/>
      <c r="E48" s="198"/>
      <c r="F48" s="198"/>
      <c r="G48" s="92" t="s">
        <v>58</v>
      </c>
      <c r="H48" s="85" t="s">
        <v>59</v>
      </c>
      <c r="I48" s="85" t="s">
        <v>60</v>
      </c>
      <c r="J48" s="140"/>
      <c r="K48" s="88"/>
      <c r="L48" s="20"/>
    </row>
    <row r="49" spans="2:12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83"/>
      <c r="K49" s="90"/>
      <c r="L49" s="20"/>
    </row>
    <row r="50" spans="2:12" ht="16.350000000000001" customHeight="1" x14ac:dyDescent="0.3">
      <c r="B50" s="20"/>
      <c r="C50" s="198" t="s">
        <v>187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88"/>
      <c r="L50" s="20"/>
    </row>
    <row r="51" spans="2:12" ht="14.7" customHeight="1" x14ac:dyDescent="0.3">
      <c r="B51" s="20"/>
      <c r="C51" s="198"/>
      <c r="D51" s="198"/>
      <c r="E51" s="198"/>
      <c r="F51" s="198"/>
      <c r="G51" s="93" t="b">
        <v>0</v>
      </c>
      <c r="H51" s="86" t="b">
        <v>0</v>
      </c>
      <c r="I51" s="86" t="b">
        <v>0</v>
      </c>
      <c r="J51" s="83"/>
      <c r="K51" s="90"/>
      <c r="L51" s="20"/>
    </row>
    <row r="52" spans="2:12" ht="16.2" x14ac:dyDescent="0.4">
      <c r="B52" s="20"/>
      <c r="C52" s="198" t="s">
        <v>188</v>
      </c>
      <c r="D52" s="198"/>
      <c r="E52" s="198"/>
      <c r="F52" s="198"/>
      <c r="G52" s="92" t="s">
        <v>58</v>
      </c>
      <c r="H52" s="85" t="s">
        <v>59</v>
      </c>
      <c r="I52" s="85" t="s">
        <v>60</v>
      </c>
      <c r="J52" s="140"/>
      <c r="K52" s="88"/>
      <c r="L52" s="20"/>
    </row>
    <row r="53" spans="2:12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83"/>
      <c r="K53" s="90"/>
      <c r="L53" s="20"/>
    </row>
    <row r="54" spans="2:12" ht="16.350000000000001" customHeight="1" x14ac:dyDescent="0.3">
      <c r="B54" s="20"/>
      <c r="C54" s="198" t="s">
        <v>189</v>
      </c>
      <c r="D54" s="198"/>
      <c r="E54" s="198"/>
      <c r="F54" s="198"/>
      <c r="G54" s="87" t="s">
        <v>58</v>
      </c>
      <c r="H54" s="140" t="s">
        <v>59</v>
      </c>
      <c r="I54" s="140" t="s">
        <v>60</v>
      </c>
      <c r="J54" s="140"/>
      <c r="K54" s="88"/>
      <c r="L54" s="20"/>
    </row>
    <row r="55" spans="2:12" ht="14.7" customHeight="1" x14ac:dyDescent="0.3">
      <c r="B55" s="20"/>
      <c r="C55" s="198"/>
      <c r="D55" s="198"/>
      <c r="E55" s="198"/>
      <c r="F55" s="198"/>
      <c r="G55" s="93" t="b">
        <v>0</v>
      </c>
      <c r="H55" s="86" t="b">
        <v>0</v>
      </c>
      <c r="I55" s="86" t="b">
        <v>0</v>
      </c>
      <c r="J55" s="83"/>
      <c r="K55" s="90"/>
      <c r="L55" s="20"/>
    </row>
    <row r="56" spans="2:12" x14ac:dyDescent="0.3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2:12" x14ac:dyDescent="0.3">
      <c r="B57" s="29"/>
      <c r="C57" s="29"/>
      <c r="D57" s="29"/>
      <c r="E57" s="29"/>
      <c r="F57" s="31"/>
      <c r="G57" s="31"/>
      <c r="H57" s="31"/>
      <c r="I57" s="30"/>
      <c r="J57" s="30"/>
      <c r="K57" s="30"/>
      <c r="L57" s="30"/>
    </row>
    <row r="58" spans="2:12" x14ac:dyDescent="0.3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2:12" x14ac:dyDescent="0.3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2" x14ac:dyDescent="0.3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x14ac:dyDescent="0.3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</sheetData>
  <sheetProtection sheet="1" objects="1" scenarios="1"/>
  <mergeCells count="24">
    <mergeCell ref="C52:F53"/>
    <mergeCell ref="C54:F55"/>
    <mergeCell ref="C40:F41"/>
    <mergeCell ref="C42:F43"/>
    <mergeCell ref="C44:F45"/>
    <mergeCell ref="C46:F47"/>
    <mergeCell ref="C48:F49"/>
    <mergeCell ref="C50:F51"/>
    <mergeCell ref="C37:F38"/>
    <mergeCell ref="C18:F19"/>
    <mergeCell ref="C20:F21"/>
    <mergeCell ref="C22:F23"/>
    <mergeCell ref="C24:F25"/>
    <mergeCell ref="C27:F28"/>
    <mergeCell ref="C29:F30"/>
    <mergeCell ref="C31:F32"/>
    <mergeCell ref="C33:F34"/>
    <mergeCell ref="C35:F36"/>
    <mergeCell ref="C16:F17"/>
    <mergeCell ref="F3:K5"/>
    <mergeCell ref="C8:G8"/>
    <mergeCell ref="C10:F11"/>
    <mergeCell ref="C12:F13"/>
    <mergeCell ref="C14:F15"/>
  </mergeCells>
  <conditionalFormatting sqref="C12">
    <cfRule type="expression" dxfId="410" priority="26">
      <formula>AND($G$13:$I$13=FALSE)</formula>
    </cfRule>
  </conditionalFormatting>
  <conditionalFormatting sqref="C14">
    <cfRule type="expression" dxfId="409" priority="28">
      <formula>AND($G$15:$I$15=FALSE)</formula>
    </cfRule>
  </conditionalFormatting>
  <conditionalFormatting sqref="C16">
    <cfRule type="expression" dxfId="408" priority="25">
      <formula>AND($G$17:$I$17=FALSE)</formula>
    </cfRule>
  </conditionalFormatting>
  <conditionalFormatting sqref="C18">
    <cfRule type="expression" dxfId="407" priority="24">
      <formula>AND($G$19:$K$19=FALSE)</formula>
    </cfRule>
  </conditionalFormatting>
  <conditionalFormatting sqref="C22">
    <cfRule type="expression" dxfId="406" priority="21">
      <formula>AND($G$23:$I$23=FALSE)</formula>
    </cfRule>
  </conditionalFormatting>
  <conditionalFormatting sqref="C24">
    <cfRule type="expression" dxfId="405" priority="23">
      <formula>AND($G$25:$I$25=FALSE)</formula>
    </cfRule>
  </conditionalFormatting>
  <conditionalFormatting sqref="C29">
    <cfRule type="expression" dxfId="404" priority="17">
      <formula>AND($G$30:$K$30=FALSE)</formula>
    </cfRule>
  </conditionalFormatting>
  <conditionalFormatting sqref="C31">
    <cfRule type="expression" dxfId="403" priority="16">
      <formula>AND($G$32:$K$32=FALSE)</formula>
    </cfRule>
  </conditionalFormatting>
  <conditionalFormatting sqref="C33">
    <cfRule type="expression" dxfId="402" priority="15">
      <formula>AND($G$34:$I$34=FALSE)</formula>
    </cfRule>
  </conditionalFormatting>
  <conditionalFormatting sqref="C40">
    <cfRule type="expression" dxfId="401" priority="12">
      <formula>AND($G$41:$I$41=FALSE)</formula>
    </cfRule>
  </conditionalFormatting>
  <conditionalFormatting sqref="C42">
    <cfRule type="expression" dxfId="400" priority="11">
      <formula>AND($G$43:$K$43=FALSE)</formula>
    </cfRule>
  </conditionalFormatting>
  <conditionalFormatting sqref="C44">
    <cfRule type="expression" dxfId="399" priority="10">
      <formula>AND($G$45:$K$45=FALSE)</formula>
    </cfRule>
  </conditionalFormatting>
  <conditionalFormatting sqref="C10:F11">
    <cfRule type="expression" dxfId="398" priority="27">
      <formula>AND($G$11:$I$11=FALSE)</formula>
    </cfRule>
  </conditionalFormatting>
  <conditionalFormatting sqref="C20:F21">
    <cfRule type="expression" dxfId="397" priority="22">
      <formula>AND($G$21:$K$21=FALSE)</formula>
    </cfRule>
  </conditionalFormatting>
  <conditionalFormatting sqref="C27:F28">
    <cfRule type="expression" dxfId="396" priority="18">
      <formula>AND($G$28:$K$28=FALSE)</formula>
    </cfRule>
  </conditionalFormatting>
  <conditionalFormatting sqref="C35:F36">
    <cfRule type="expression" dxfId="395" priority="5">
      <formula>AND($G$36:$K$36=FALSE)</formula>
    </cfRule>
  </conditionalFormatting>
  <conditionalFormatting sqref="C37:F38">
    <cfRule type="expression" dxfId="394" priority="13">
      <formula>AND($G$38:$I$38=FALSE)</formula>
    </cfRule>
  </conditionalFormatting>
  <conditionalFormatting sqref="C46:F47">
    <cfRule type="expression" dxfId="393" priority="6">
      <formula>AND($G$47:$K$47=FALSE)</formula>
    </cfRule>
  </conditionalFormatting>
  <conditionalFormatting sqref="C48:F49">
    <cfRule type="expression" dxfId="392" priority="4">
      <formula>AND($G$49:$K$49=FALSE)</formula>
    </cfRule>
  </conditionalFormatting>
  <conditionalFormatting sqref="C50:F51">
    <cfRule type="expression" dxfId="391" priority="3">
      <formula>AND($G$51:$K$51=FALSE)</formula>
    </cfRule>
  </conditionalFormatting>
  <conditionalFormatting sqref="C52:F53">
    <cfRule type="expression" dxfId="390" priority="2">
      <formula>AND($G$53:$K$53=FALSE)</formula>
    </cfRule>
  </conditionalFormatting>
  <conditionalFormatting sqref="C54:F55">
    <cfRule type="expression" dxfId="389" priority="1">
      <formula>AND($G$55:$K$55=FALSE)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A77A-7BB7-4353-AA66-432A6521CDA2}">
  <sheetPr codeName="Feuil14"/>
  <dimension ref="B2:M40"/>
  <sheetViews>
    <sheetView showGridLines="0" tabSelected="1" showWhiteSpace="0" view="pageBreakPreview" topLeftCell="A16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190</v>
      </c>
      <c r="D8" s="203"/>
      <c r="E8" s="203"/>
      <c r="F8" s="203"/>
      <c r="G8" s="203"/>
      <c r="H8" s="20"/>
      <c r="I8" s="20"/>
      <c r="J8" s="20"/>
      <c r="K8" s="20"/>
      <c r="L8" s="20"/>
    </row>
    <row r="9" spans="2:13" ht="18" x14ac:dyDescent="0.4">
      <c r="B9" s="20"/>
      <c r="C9" s="22" t="s">
        <v>191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350000000000001" customHeight="1" x14ac:dyDescent="0.3">
      <c r="B10" s="20"/>
      <c r="C10" s="198" t="s">
        <v>192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350000000000001" customHeight="1" x14ac:dyDescent="0.3">
      <c r="B12" s="20"/>
      <c r="C12" s="198" t="s">
        <v>193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194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195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196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90"/>
      <c r="L19" s="20"/>
    </row>
    <row r="20" spans="2:12" ht="16.350000000000001" customHeight="1" x14ac:dyDescent="0.3">
      <c r="B20" s="20"/>
      <c r="C20" s="198" t="s">
        <v>197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83"/>
      <c r="K21" s="90"/>
      <c r="L21" s="20"/>
    </row>
    <row r="22" spans="2:12" ht="16.350000000000001" customHeight="1" x14ac:dyDescent="0.3">
      <c r="B22" s="20"/>
      <c r="C22" s="198" t="s">
        <v>124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3"/>
      <c r="K23" s="90"/>
      <c r="L23" s="20"/>
    </row>
    <row r="24" spans="2:12" ht="24" customHeight="1" x14ac:dyDescent="0.4">
      <c r="B24" s="20"/>
      <c r="C24" s="22" t="s">
        <v>198</v>
      </c>
      <c r="D24" s="22"/>
      <c r="E24" s="22"/>
      <c r="F24" s="20"/>
      <c r="G24" s="20"/>
      <c r="H24" s="20"/>
      <c r="I24" s="20"/>
      <c r="J24" s="21"/>
      <c r="K24" s="21"/>
      <c r="L24" s="20"/>
    </row>
    <row r="25" spans="2:12" ht="16.350000000000001" customHeight="1" x14ac:dyDescent="0.3">
      <c r="B25" s="20"/>
      <c r="C25" s="198" t="s">
        <v>199</v>
      </c>
      <c r="D25" s="198"/>
      <c r="E25" s="198"/>
      <c r="F25" s="198"/>
      <c r="G25" s="87" t="s">
        <v>58</v>
      </c>
      <c r="H25" s="140" t="s">
        <v>59</v>
      </c>
      <c r="I25" s="140" t="s">
        <v>60</v>
      </c>
      <c r="J25" s="140"/>
      <c r="K25" s="88"/>
      <c r="L25" s="20"/>
    </row>
    <row r="26" spans="2:12" ht="14.7" customHeight="1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94"/>
      <c r="K26" s="95"/>
      <c r="L26" s="20"/>
    </row>
    <row r="27" spans="2:12" ht="16.350000000000001" customHeight="1" x14ac:dyDescent="0.3">
      <c r="B27" s="20"/>
      <c r="C27" s="198" t="s">
        <v>200</v>
      </c>
      <c r="D27" s="198"/>
      <c r="E27" s="198"/>
      <c r="F27" s="198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0"/>
    </row>
    <row r="28" spans="2:12" ht="14.7" customHeight="1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20"/>
    </row>
    <row r="29" spans="2:12" ht="16.2" x14ac:dyDescent="0.3">
      <c r="B29" s="20"/>
      <c r="C29" s="198" t="s">
        <v>201</v>
      </c>
      <c r="D29" s="198"/>
      <c r="E29" s="198"/>
      <c r="F29" s="198"/>
      <c r="G29" s="87" t="s">
        <v>58</v>
      </c>
      <c r="H29" s="140">
        <v>0</v>
      </c>
      <c r="I29" s="140">
        <v>1</v>
      </c>
      <c r="J29" s="140">
        <v>2</v>
      </c>
      <c r="K29" s="88">
        <v>3</v>
      </c>
      <c r="L29" s="20"/>
    </row>
    <row r="30" spans="2:12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82" t="b">
        <v>0</v>
      </c>
      <c r="K30" s="91" t="b">
        <v>0</v>
      </c>
      <c r="L30" s="20"/>
    </row>
    <row r="31" spans="2:12" ht="32.1" customHeight="1" x14ac:dyDescent="0.3">
      <c r="B31" s="20"/>
      <c r="C31" s="198" t="s">
        <v>202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83"/>
      <c r="K32" s="90"/>
      <c r="L32" s="20"/>
    </row>
    <row r="33" spans="2:12" ht="16.350000000000001" customHeight="1" x14ac:dyDescent="0.3">
      <c r="B33" s="20"/>
      <c r="C33" s="198" t="s">
        <v>203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3"/>
      <c r="K34" s="90"/>
      <c r="L34" s="20"/>
    </row>
    <row r="35" spans="2:12" x14ac:dyDescent="0.3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2:12" x14ac:dyDescent="0.3">
      <c r="B36" s="29"/>
      <c r="C36" s="29"/>
      <c r="D36" s="29"/>
      <c r="E36" s="29"/>
      <c r="F36" s="31"/>
      <c r="G36" s="31"/>
      <c r="H36" s="31"/>
      <c r="I36" s="30"/>
      <c r="J36" s="30"/>
      <c r="K36" s="30"/>
      <c r="L36" s="30"/>
    </row>
    <row r="37" spans="2:12" x14ac:dyDescent="0.3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 x14ac:dyDescent="0.3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2:12" x14ac:dyDescent="0.3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2" x14ac:dyDescent="0.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</sheetData>
  <sheetProtection sheet="1" objects="1" scenarios="1"/>
  <mergeCells count="14">
    <mergeCell ref="C29:F30"/>
    <mergeCell ref="C31:F32"/>
    <mergeCell ref="C33:F34"/>
    <mergeCell ref="C18:F19"/>
    <mergeCell ref="C20:F21"/>
    <mergeCell ref="C22:F23"/>
    <mergeCell ref="C25:F26"/>
    <mergeCell ref="C27:F28"/>
    <mergeCell ref="C16:F17"/>
    <mergeCell ref="F3:K5"/>
    <mergeCell ref="C8:G8"/>
    <mergeCell ref="C10:F11"/>
    <mergeCell ref="C12:F13"/>
    <mergeCell ref="C14:F15"/>
  </mergeCells>
  <conditionalFormatting sqref="C12">
    <cfRule type="expression" dxfId="388" priority="15">
      <formula>AND($G$13:$K$13=FALSE)</formula>
    </cfRule>
  </conditionalFormatting>
  <conditionalFormatting sqref="C14">
    <cfRule type="expression" dxfId="387" priority="17">
      <formula>AND($G$15:$K$15=FALSE)</formula>
    </cfRule>
  </conditionalFormatting>
  <conditionalFormatting sqref="C16">
    <cfRule type="expression" dxfId="386" priority="14">
      <formula>AND($G$17:$I$17=FALSE)</formula>
    </cfRule>
  </conditionalFormatting>
  <conditionalFormatting sqref="C18">
    <cfRule type="expression" dxfId="385" priority="13">
      <formula>AND($G$19:$I$19=FALSE)</formula>
    </cfRule>
  </conditionalFormatting>
  <conditionalFormatting sqref="C22">
    <cfRule type="expression" dxfId="384" priority="10">
      <formula>AND($G$23:$I$23=FALSE)</formula>
    </cfRule>
  </conditionalFormatting>
  <conditionalFormatting sqref="C27">
    <cfRule type="expression" dxfId="383" priority="8">
      <formula>AND($G$28:$K$28=FALSE)</formula>
    </cfRule>
  </conditionalFormatting>
  <conditionalFormatting sqref="C29">
    <cfRule type="expression" dxfId="382" priority="7">
      <formula>AND($G$30:$K$30=FALSE)</formula>
    </cfRule>
  </conditionalFormatting>
  <conditionalFormatting sqref="C31">
    <cfRule type="expression" dxfId="381" priority="6">
      <formula>AND($G$32:$I$32=FALSE)</formula>
    </cfRule>
  </conditionalFormatting>
  <conditionalFormatting sqref="C10:F11">
    <cfRule type="expression" dxfId="380" priority="16">
      <formula>AND($G$11:$I$11=FALSE)</formula>
    </cfRule>
  </conditionalFormatting>
  <conditionalFormatting sqref="C20:F21">
    <cfRule type="expression" dxfId="379" priority="11">
      <formula>AND($G$21:$I$21=FALSE)</formula>
    </cfRule>
  </conditionalFormatting>
  <conditionalFormatting sqref="C25:F26">
    <cfRule type="expression" dxfId="378" priority="9">
      <formula>AND($G$26:$K$26=FALSE)</formula>
    </cfRule>
  </conditionalFormatting>
  <conditionalFormatting sqref="C33:F34">
    <cfRule type="expression" dxfId="377" priority="5">
      <formula>AND($G$34:$I$34=FALSE)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CBAB-229B-4FD1-AD92-76749788DA42}">
  <sheetPr codeName="Feuil15"/>
  <dimension ref="B2:N44"/>
  <sheetViews>
    <sheetView showGridLines="0" tabSelected="1" showWhiteSpace="0" view="pageLayout" topLeftCell="A16" zoomScaleNormal="11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2" width="11.6640625" style="19"/>
    <col min="13" max="14" width="3.77734375" style="19" customWidth="1"/>
    <col min="15" max="16384" width="11.6640625" style="19"/>
  </cols>
  <sheetData>
    <row r="2" spans="2:14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4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158"/>
      <c r="M3" s="20"/>
      <c r="N3" s="23"/>
    </row>
    <row r="4" spans="2:14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158"/>
      <c r="M4" s="20"/>
    </row>
    <row r="5" spans="2:14" ht="18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158"/>
      <c r="M5" s="20"/>
    </row>
    <row r="6" spans="2:14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1"/>
      <c r="M6" s="20"/>
      <c r="N6" s="24"/>
    </row>
    <row r="7" spans="2:14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30"/>
      <c r="N7" s="24"/>
    </row>
    <row r="8" spans="2:14" ht="18" x14ac:dyDescent="0.4">
      <c r="B8" s="20"/>
      <c r="C8" s="203" t="s">
        <v>204</v>
      </c>
      <c r="D8" s="203"/>
      <c r="E8" s="203"/>
      <c r="F8" s="203"/>
      <c r="G8" s="203"/>
      <c r="H8" s="20"/>
      <c r="I8" s="20"/>
      <c r="J8" s="20"/>
      <c r="K8" s="20"/>
      <c r="L8" s="20"/>
      <c r="M8" s="20"/>
    </row>
    <row r="9" spans="2:14" ht="18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1"/>
      <c r="M9" s="20"/>
    </row>
    <row r="10" spans="2:14" ht="16.350000000000001" customHeight="1" x14ac:dyDescent="0.3">
      <c r="B10" s="20"/>
      <c r="C10" s="198" t="s">
        <v>206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140"/>
      <c r="L10" s="88"/>
      <c r="M10" s="20"/>
    </row>
    <row r="11" spans="2:14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83"/>
      <c r="L11" s="90"/>
      <c r="M11" s="20"/>
    </row>
    <row r="12" spans="2:14" ht="16.2" x14ac:dyDescent="0.3">
      <c r="B12" s="20"/>
      <c r="C12" s="198" t="s">
        <v>207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140">
        <v>3</v>
      </c>
      <c r="L12" s="88"/>
      <c r="M12" s="20"/>
    </row>
    <row r="13" spans="2:14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82" t="b">
        <v>0</v>
      </c>
      <c r="L13" s="95"/>
      <c r="M13" s="20"/>
    </row>
    <row r="14" spans="2:14" ht="16.2" x14ac:dyDescent="0.3">
      <c r="B14" s="20"/>
      <c r="C14" s="198" t="s">
        <v>208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140">
        <v>3</v>
      </c>
      <c r="L14" s="88"/>
      <c r="M14" s="20"/>
    </row>
    <row r="15" spans="2:14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82" t="b">
        <v>0</v>
      </c>
      <c r="L15" s="95"/>
      <c r="M15" s="20"/>
    </row>
    <row r="16" spans="2:14" s="33" customFormat="1" ht="48.6" x14ac:dyDescent="0.3">
      <c r="B16" s="27"/>
      <c r="C16" s="198" t="s">
        <v>209</v>
      </c>
      <c r="D16" s="198"/>
      <c r="E16" s="198"/>
      <c r="F16" s="198"/>
      <c r="G16" s="87" t="s">
        <v>210</v>
      </c>
      <c r="H16" s="84" t="s">
        <v>211</v>
      </c>
      <c r="I16" s="99" t="s">
        <v>212</v>
      </c>
      <c r="J16" s="84" t="s">
        <v>213</v>
      </c>
      <c r="K16" s="84" t="s">
        <v>214</v>
      </c>
      <c r="L16" s="98" t="s">
        <v>215</v>
      </c>
      <c r="M16" s="27"/>
    </row>
    <row r="17" spans="2:13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96" t="b">
        <v>0</v>
      </c>
      <c r="K17" s="96" t="b">
        <v>0</v>
      </c>
      <c r="L17" s="97" t="b">
        <v>0</v>
      </c>
      <c r="M17" s="20"/>
    </row>
    <row r="18" spans="2:13" ht="16.2" x14ac:dyDescent="0.3">
      <c r="B18" s="20"/>
      <c r="C18" s="198" t="s">
        <v>216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140"/>
      <c r="L18" s="88"/>
      <c r="M18" s="20"/>
    </row>
    <row r="19" spans="2:13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83"/>
      <c r="L19" s="90"/>
      <c r="M19" s="20"/>
    </row>
    <row r="20" spans="2:13" ht="16.350000000000001" customHeight="1" x14ac:dyDescent="0.3">
      <c r="B20" s="20"/>
      <c r="C20" s="198" t="s">
        <v>217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140"/>
      <c r="L20" s="88"/>
      <c r="M20" s="20"/>
    </row>
    <row r="21" spans="2:13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4"/>
      <c r="L21" s="95"/>
      <c r="M21" s="20"/>
    </row>
    <row r="22" spans="2:13" ht="16.350000000000001" customHeight="1" x14ac:dyDescent="0.3">
      <c r="B22" s="20"/>
      <c r="C22" s="198" t="s">
        <v>218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140"/>
      <c r="L22" s="88"/>
      <c r="M22" s="20"/>
    </row>
    <row r="23" spans="2:13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4"/>
      <c r="L23" s="95"/>
      <c r="M23" s="20"/>
    </row>
    <row r="24" spans="2:13" ht="16.2" x14ac:dyDescent="0.3">
      <c r="B24" s="20"/>
      <c r="C24" s="198" t="s">
        <v>219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140"/>
      <c r="L24" s="88"/>
      <c r="M24" s="20"/>
    </row>
    <row r="25" spans="2:13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4"/>
      <c r="L25" s="95"/>
      <c r="M25" s="20"/>
    </row>
    <row r="26" spans="2:13" ht="24" customHeight="1" x14ac:dyDescent="0.4">
      <c r="B26" s="20"/>
      <c r="C26" s="22" t="s">
        <v>220</v>
      </c>
      <c r="D26" s="22"/>
      <c r="E26" s="22"/>
      <c r="F26" s="20"/>
      <c r="G26" s="20"/>
      <c r="H26" s="20"/>
      <c r="I26" s="20"/>
      <c r="J26" s="21"/>
      <c r="K26" s="21"/>
      <c r="L26" s="21"/>
      <c r="M26" s="20"/>
    </row>
    <row r="27" spans="2:13" ht="16.2" x14ac:dyDescent="0.3">
      <c r="B27" s="20"/>
      <c r="C27" s="198" t="s">
        <v>221</v>
      </c>
      <c r="D27" s="198"/>
      <c r="E27" s="198"/>
      <c r="F27" s="198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5"/>
      <c r="M27" s="20"/>
    </row>
    <row r="28" spans="2:13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38"/>
      <c r="M28" s="20"/>
    </row>
    <row r="29" spans="2:13" ht="16.2" x14ac:dyDescent="0.3">
      <c r="B29" s="20"/>
      <c r="C29" s="198" t="s">
        <v>222</v>
      </c>
      <c r="D29" s="198"/>
      <c r="E29" s="198"/>
      <c r="F29" s="198"/>
      <c r="G29" s="87" t="s">
        <v>58</v>
      </c>
      <c r="H29" s="140">
        <v>0</v>
      </c>
      <c r="I29" s="140">
        <v>1</v>
      </c>
      <c r="J29" s="140">
        <v>2</v>
      </c>
      <c r="K29" s="88">
        <v>3</v>
      </c>
      <c r="L29" s="25"/>
      <c r="M29" s="20"/>
    </row>
    <row r="30" spans="2:13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82" t="b">
        <v>0</v>
      </c>
      <c r="K30" s="91" t="b">
        <v>0</v>
      </c>
      <c r="L30" s="38"/>
      <c r="M30" s="20"/>
    </row>
    <row r="31" spans="2:13" ht="16.2" x14ac:dyDescent="0.3">
      <c r="B31" s="20"/>
      <c r="C31" s="197" t="s">
        <v>223</v>
      </c>
      <c r="D31" s="197"/>
      <c r="E31" s="197"/>
      <c r="F31" s="197"/>
      <c r="G31" s="87" t="s">
        <v>58</v>
      </c>
      <c r="H31" s="140">
        <v>0</v>
      </c>
      <c r="I31" s="140">
        <v>1</v>
      </c>
      <c r="J31" s="140">
        <v>2</v>
      </c>
      <c r="K31" s="88">
        <v>3</v>
      </c>
      <c r="L31" s="25"/>
      <c r="M31" s="20"/>
    </row>
    <row r="32" spans="2:13" ht="14.7" customHeight="1" x14ac:dyDescent="0.3">
      <c r="B32" s="20"/>
      <c r="C32" s="197"/>
      <c r="D32" s="197"/>
      <c r="E32" s="197"/>
      <c r="F32" s="197"/>
      <c r="G32" s="89" t="b">
        <v>0</v>
      </c>
      <c r="H32" s="82" t="b">
        <v>0</v>
      </c>
      <c r="I32" s="82" t="b">
        <v>0</v>
      </c>
      <c r="J32" s="82" t="b">
        <v>0</v>
      </c>
      <c r="K32" s="91" t="b">
        <v>0</v>
      </c>
      <c r="L32" s="38"/>
      <c r="M32" s="20"/>
    </row>
    <row r="33" spans="2:13" ht="16.350000000000001" customHeight="1" x14ac:dyDescent="0.3">
      <c r="B33" s="20"/>
      <c r="C33" s="198" t="s">
        <v>224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5"/>
      <c r="M33" s="20"/>
    </row>
    <row r="34" spans="2:13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38"/>
      <c r="M34" s="20"/>
    </row>
    <row r="35" spans="2:13" ht="16.2" x14ac:dyDescent="0.3">
      <c r="B35" s="20"/>
      <c r="C35" s="198" t="s">
        <v>225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5"/>
      <c r="M35" s="20"/>
    </row>
    <row r="36" spans="2:13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38"/>
      <c r="M36" s="20"/>
    </row>
    <row r="37" spans="2:13" ht="16.350000000000001" customHeight="1" x14ac:dyDescent="0.3">
      <c r="B37" s="20"/>
      <c r="C37" s="198" t="s">
        <v>226</v>
      </c>
      <c r="D37" s="198"/>
      <c r="E37" s="198"/>
      <c r="F37" s="198"/>
      <c r="G37" s="87" t="s">
        <v>58</v>
      </c>
      <c r="H37" s="140">
        <v>0</v>
      </c>
      <c r="I37" s="140">
        <v>1</v>
      </c>
      <c r="J37" s="140">
        <v>2</v>
      </c>
      <c r="K37" s="88">
        <v>3</v>
      </c>
      <c r="L37" s="25"/>
      <c r="M37" s="20"/>
    </row>
    <row r="38" spans="2:13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82" t="b">
        <v>0</v>
      </c>
      <c r="K38" s="91" t="b">
        <v>0</v>
      </c>
      <c r="L38" s="38"/>
      <c r="M38" s="20"/>
    </row>
    <row r="39" spans="2:13" x14ac:dyDescent="0.3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2:13" x14ac:dyDescent="0.3">
      <c r="B40" s="29"/>
      <c r="C40" s="29"/>
      <c r="D40" s="29"/>
      <c r="E40" s="29"/>
      <c r="F40" s="31"/>
      <c r="G40" s="31"/>
      <c r="H40" s="31"/>
      <c r="I40" s="30"/>
      <c r="J40" s="30"/>
      <c r="K40" s="30"/>
      <c r="L40" s="30"/>
      <c r="M40" s="30"/>
    </row>
    <row r="41" spans="2:13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3" x14ac:dyDescent="0.3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2:13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3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</sheetData>
  <sheetProtection sheet="1" objects="1" scenarios="1"/>
  <mergeCells count="16">
    <mergeCell ref="F3:L5"/>
    <mergeCell ref="C31:F32"/>
    <mergeCell ref="C33:F34"/>
    <mergeCell ref="C35:F36"/>
    <mergeCell ref="C37:F38"/>
    <mergeCell ref="C24:F25"/>
    <mergeCell ref="C27:F28"/>
    <mergeCell ref="C29:F30"/>
    <mergeCell ref="C16:F17"/>
    <mergeCell ref="C18:F19"/>
    <mergeCell ref="C20:F21"/>
    <mergeCell ref="C22:F23"/>
    <mergeCell ref="C8:G8"/>
    <mergeCell ref="C10:F11"/>
    <mergeCell ref="C12:F13"/>
    <mergeCell ref="C14:F15"/>
  </mergeCells>
  <conditionalFormatting sqref="C12">
    <cfRule type="expression" dxfId="376" priority="19">
      <formula>AND($G$13:$K$13=FALSE)</formula>
    </cfRule>
  </conditionalFormatting>
  <conditionalFormatting sqref="C14">
    <cfRule type="expression" dxfId="375" priority="16">
      <formula>AND($G$15:$K$15=FALSE)</formula>
    </cfRule>
  </conditionalFormatting>
  <conditionalFormatting sqref="C16">
    <cfRule type="expression" dxfId="374" priority="15">
      <formula>AND($G$17:$L$17=FALSE)</formula>
    </cfRule>
  </conditionalFormatting>
  <conditionalFormatting sqref="C18">
    <cfRule type="expression" dxfId="373" priority="14">
      <formula>AND($G$19:$I$19=FALSE)</formula>
    </cfRule>
  </conditionalFormatting>
  <conditionalFormatting sqref="C22">
    <cfRule type="expression" dxfId="372" priority="10">
      <formula>AND($G$23:$K$23=FALSE)</formula>
    </cfRule>
  </conditionalFormatting>
  <conditionalFormatting sqref="C24">
    <cfRule type="expression" dxfId="371" priority="9">
      <formula>AND($G$25:$K$25=FALSE)</formula>
    </cfRule>
  </conditionalFormatting>
  <conditionalFormatting sqref="C27">
    <cfRule type="expression" dxfId="370" priority="5">
      <formula>AND($G$28:$K$28=FALSE)</formula>
    </cfRule>
  </conditionalFormatting>
  <conditionalFormatting sqref="C29">
    <cfRule type="expression" dxfId="369" priority="4">
      <formula>AND($G$30:$K$30=FALSE)</formula>
    </cfRule>
  </conditionalFormatting>
  <conditionalFormatting sqref="C31">
    <cfRule type="expression" dxfId="368" priority="3">
      <formula>AND($G$32:$K$32=FALSE)</formula>
    </cfRule>
  </conditionalFormatting>
  <conditionalFormatting sqref="C35">
    <cfRule type="expression" dxfId="367" priority="7">
      <formula>AND($G$36:$K$36=FALSE)</formula>
    </cfRule>
  </conditionalFormatting>
  <conditionalFormatting sqref="C10:F11">
    <cfRule type="expression" dxfId="366" priority="18">
      <formula>AND($G$11:$I$11=FALSE)</formula>
    </cfRule>
  </conditionalFormatting>
  <conditionalFormatting sqref="C20:F21">
    <cfRule type="expression" dxfId="365" priority="11">
      <formula>AND($G$21:$K$21=FALSE)</formula>
    </cfRule>
  </conditionalFormatting>
  <conditionalFormatting sqref="C33:F34">
    <cfRule type="expression" dxfId="364" priority="2">
      <formula>AND($G$34:$K$34=FALSE)</formula>
    </cfRule>
  </conditionalFormatting>
  <conditionalFormatting sqref="C37:F38">
    <cfRule type="expression" dxfId="363" priority="1">
      <formula>AND($G$38:$K$38=FALSE)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B107-48E2-486D-A424-6436EB792A1C}">
  <sheetPr codeName="Feuil16"/>
  <dimension ref="B2:M48"/>
  <sheetViews>
    <sheetView showGridLines="0" tabSelected="1" showWhiteSpace="0" view="pageBreakPreview" topLeftCell="A28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8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227</v>
      </c>
      <c r="D8" s="203"/>
      <c r="E8" s="203"/>
      <c r="F8" s="203"/>
      <c r="G8" s="203"/>
      <c r="H8" s="20"/>
      <c r="I8" s="20"/>
      <c r="J8" s="20"/>
      <c r="K8" s="20"/>
      <c r="L8" s="20"/>
    </row>
    <row r="9" spans="2:13" ht="18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350000000000001" customHeight="1" x14ac:dyDescent="0.3">
      <c r="B10" s="20"/>
      <c r="C10" s="198" t="s">
        <v>228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48" customHeight="1" x14ac:dyDescent="0.3">
      <c r="B12" s="20"/>
      <c r="C12" s="198" t="s">
        <v>229</v>
      </c>
      <c r="D12" s="198"/>
      <c r="E12" s="198"/>
      <c r="F12" s="198"/>
      <c r="G12" s="87" t="s">
        <v>58</v>
      </c>
      <c r="H12" s="84" t="s">
        <v>230</v>
      </c>
      <c r="I12" s="84" t="s">
        <v>231</v>
      </c>
      <c r="J12" s="84" t="s">
        <v>232</v>
      </c>
      <c r="K12" s="98" t="s">
        <v>233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6" t="b">
        <v>0</v>
      </c>
      <c r="K13" s="97" t="b">
        <v>0</v>
      </c>
      <c r="L13" s="20"/>
    </row>
    <row r="14" spans="2:13" s="33" customFormat="1" ht="16.2" x14ac:dyDescent="0.3">
      <c r="B14" s="27"/>
      <c r="C14" s="198" t="s">
        <v>234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7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235</v>
      </c>
      <c r="D16" s="198"/>
      <c r="E16" s="198"/>
      <c r="F16" s="198"/>
      <c r="G16" s="87" t="s">
        <v>58</v>
      </c>
      <c r="H16" s="140">
        <v>0</v>
      </c>
      <c r="I16" s="140">
        <v>1</v>
      </c>
      <c r="J16" s="140">
        <v>2</v>
      </c>
      <c r="K16" s="88">
        <v>3</v>
      </c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2" t="b">
        <v>0</v>
      </c>
      <c r="K17" s="91" t="b">
        <v>0</v>
      </c>
      <c r="L17" s="20"/>
    </row>
    <row r="18" spans="2:12" ht="16.2" x14ac:dyDescent="0.3">
      <c r="B18" s="20"/>
      <c r="C18" s="198" t="s">
        <v>236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90"/>
      <c r="L19" s="20"/>
    </row>
    <row r="20" spans="2:12" ht="16.2" x14ac:dyDescent="0.3">
      <c r="B20" s="20"/>
      <c r="C20" s="198" t="s">
        <v>237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83"/>
      <c r="K21" s="90"/>
      <c r="L21" s="20"/>
    </row>
    <row r="22" spans="2:12" ht="16.350000000000001" customHeight="1" x14ac:dyDescent="0.3">
      <c r="B22" s="20"/>
      <c r="C22" s="198" t="s">
        <v>238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24" customHeight="1" x14ac:dyDescent="0.4">
      <c r="B24" s="20"/>
      <c r="C24" s="22" t="s">
        <v>220</v>
      </c>
      <c r="D24" s="22"/>
      <c r="E24" s="22"/>
      <c r="F24" s="20"/>
      <c r="G24" s="20"/>
      <c r="H24" s="20"/>
      <c r="I24" s="20"/>
      <c r="J24" s="21"/>
      <c r="K24" s="21"/>
      <c r="L24" s="20"/>
    </row>
    <row r="25" spans="2:12" ht="16.2" x14ac:dyDescent="0.3">
      <c r="B25" s="20"/>
      <c r="C25" s="198" t="s">
        <v>239</v>
      </c>
      <c r="D25" s="198"/>
      <c r="E25" s="198"/>
      <c r="F25" s="198"/>
      <c r="G25" s="87" t="s">
        <v>58</v>
      </c>
      <c r="H25" s="140">
        <v>0</v>
      </c>
      <c r="I25" s="140">
        <v>1</v>
      </c>
      <c r="J25" s="140">
        <v>2</v>
      </c>
      <c r="K25" s="88">
        <v>3</v>
      </c>
      <c r="L25" s="20"/>
    </row>
    <row r="26" spans="2:12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82" t="b">
        <v>0</v>
      </c>
      <c r="K26" s="91" t="b">
        <v>0</v>
      </c>
      <c r="L26" s="20"/>
    </row>
    <row r="27" spans="2:12" ht="16.2" x14ac:dyDescent="0.3">
      <c r="B27" s="20"/>
      <c r="C27" s="198" t="s">
        <v>240</v>
      </c>
      <c r="D27" s="198"/>
      <c r="E27" s="198"/>
      <c r="F27" s="198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0"/>
    </row>
    <row r="28" spans="2:12" ht="14.7" customHeight="1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20"/>
    </row>
    <row r="29" spans="2:12" ht="16.2" x14ac:dyDescent="0.3">
      <c r="B29" s="20"/>
      <c r="C29" s="197" t="s">
        <v>223</v>
      </c>
      <c r="D29" s="197"/>
      <c r="E29" s="197"/>
      <c r="F29" s="197"/>
      <c r="G29" s="87" t="s">
        <v>58</v>
      </c>
      <c r="H29" s="140">
        <v>0</v>
      </c>
      <c r="I29" s="140">
        <v>1</v>
      </c>
      <c r="J29" s="140">
        <v>2</v>
      </c>
      <c r="K29" s="88">
        <v>3</v>
      </c>
      <c r="L29" s="20"/>
    </row>
    <row r="30" spans="2:12" ht="14.7" customHeight="1" x14ac:dyDescent="0.3">
      <c r="B30" s="20"/>
      <c r="C30" s="197"/>
      <c r="D30" s="197"/>
      <c r="E30" s="197"/>
      <c r="F30" s="197"/>
      <c r="G30" s="89" t="b">
        <v>0</v>
      </c>
      <c r="H30" s="82" t="b">
        <v>0</v>
      </c>
      <c r="I30" s="82" t="b">
        <v>0</v>
      </c>
      <c r="J30" s="82" t="b">
        <v>0</v>
      </c>
      <c r="K30" s="91" t="b">
        <v>0</v>
      </c>
      <c r="L30" s="20"/>
    </row>
    <row r="31" spans="2:12" ht="16.2" x14ac:dyDescent="0.3">
      <c r="B31" s="20"/>
      <c r="C31" s="197" t="s">
        <v>224</v>
      </c>
      <c r="D31" s="197"/>
      <c r="E31" s="197"/>
      <c r="F31" s="197"/>
      <c r="G31" s="87" t="s">
        <v>58</v>
      </c>
      <c r="H31" s="140">
        <v>0</v>
      </c>
      <c r="I31" s="140">
        <v>1</v>
      </c>
      <c r="J31" s="140">
        <v>2</v>
      </c>
      <c r="K31" s="88">
        <v>3</v>
      </c>
      <c r="L31" s="20"/>
    </row>
    <row r="32" spans="2:12" ht="14.7" customHeight="1" x14ac:dyDescent="0.3">
      <c r="B32" s="20"/>
      <c r="C32" s="197"/>
      <c r="D32" s="197"/>
      <c r="E32" s="197"/>
      <c r="F32" s="197"/>
      <c r="G32" s="89" t="b">
        <v>0</v>
      </c>
      <c r="H32" s="82" t="b">
        <v>0</v>
      </c>
      <c r="I32" s="82" t="b">
        <v>0</v>
      </c>
      <c r="J32" s="82" t="b">
        <v>0</v>
      </c>
      <c r="K32" s="91" t="b">
        <v>0</v>
      </c>
      <c r="L32" s="20"/>
    </row>
    <row r="33" spans="2:12" ht="16.350000000000001" customHeight="1" x14ac:dyDescent="0.3">
      <c r="B33" s="20"/>
      <c r="C33" s="198" t="s">
        <v>241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20"/>
    </row>
    <row r="35" spans="2:12" ht="16.2" x14ac:dyDescent="0.3">
      <c r="B35" s="20"/>
      <c r="C35" s="198" t="s">
        <v>225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0"/>
    </row>
    <row r="36" spans="2:12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20"/>
    </row>
    <row r="37" spans="2:12" ht="16.350000000000001" customHeight="1" x14ac:dyDescent="0.3">
      <c r="B37" s="20"/>
      <c r="C37" s="198" t="s">
        <v>226</v>
      </c>
      <c r="D37" s="198"/>
      <c r="E37" s="198"/>
      <c r="F37" s="198"/>
      <c r="G37" s="87" t="s">
        <v>58</v>
      </c>
      <c r="H37" s="140">
        <v>0</v>
      </c>
      <c r="I37" s="140">
        <v>1</v>
      </c>
      <c r="J37" s="140">
        <v>2</v>
      </c>
      <c r="K37" s="88">
        <v>3</v>
      </c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82" t="b">
        <v>0</v>
      </c>
      <c r="K38" s="91" t="b">
        <v>0</v>
      </c>
      <c r="L38" s="20"/>
    </row>
    <row r="39" spans="2:12" ht="16.2" x14ac:dyDescent="0.3">
      <c r="B39" s="20"/>
      <c r="C39" s="198" t="s">
        <v>242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0"/>
    </row>
    <row r="40" spans="2:12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94"/>
      <c r="K40" s="95"/>
      <c r="L40" s="20"/>
    </row>
    <row r="41" spans="2:12" ht="16.350000000000001" customHeight="1" x14ac:dyDescent="0.3">
      <c r="B41" s="20"/>
      <c r="C41" s="198" t="s">
        <v>243</v>
      </c>
      <c r="D41" s="198"/>
      <c r="E41" s="198"/>
      <c r="F41" s="198"/>
      <c r="G41" s="87" t="s">
        <v>58</v>
      </c>
      <c r="H41" s="140" t="s">
        <v>59</v>
      </c>
      <c r="I41" s="140" t="s">
        <v>60</v>
      </c>
      <c r="J41" s="140"/>
      <c r="K41" s="88"/>
      <c r="L41" s="20"/>
    </row>
    <row r="42" spans="2:12" ht="14.7" customHeight="1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94"/>
      <c r="K42" s="95"/>
      <c r="L42" s="20"/>
    </row>
    <row r="43" spans="2:12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2:12" x14ac:dyDescent="0.3">
      <c r="B44" s="29"/>
      <c r="C44" s="29"/>
      <c r="D44" s="29"/>
      <c r="E44" s="29"/>
      <c r="F44" s="31"/>
      <c r="G44" s="31"/>
      <c r="H44" s="31"/>
      <c r="I44" s="30"/>
      <c r="J44" s="30"/>
      <c r="K44" s="30"/>
      <c r="L44" s="30"/>
    </row>
    <row r="45" spans="2:12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2:12" x14ac:dyDescent="0.3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2:12" x14ac:dyDescent="0.3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 x14ac:dyDescent="0.3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</sheetData>
  <sheetProtection sheet="1" objects="1" scenarios="1"/>
  <mergeCells count="18">
    <mergeCell ref="F3:K5"/>
    <mergeCell ref="C39:F40"/>
    <mergeCell ref="C41:F42"/>
    <mergeCell ref="C27:F28"/>
    <mergeCell ref="C31:F32"/>
    <mergeCell ref="C33:F34"/>
    <mergeCell ref="C35:F36"/>
    <mergeCell ref="C37:F38"/>
    <mergeCell ref="C29:F30"/>
    <mergeCell ref="C18:F19"/>
    <mergeCell ref="C20:F21"/>
    <mergeCell ref="C22:F23"/>
    <mergeCell ref="C25:F26"/>
    <mergeCell ref="C8:G8"/>
    <mergeCell ref="C10:F11"/>
    <mergeCell ref="C12:F13"/>
    <mergeCell ref="C14:F15"/>
    <mergeCell ref="C16:F17"/>
  </mergeCells>
  <conditionalFormatting sqref="C12">
    <cfRule type="expression" dxfId="362" priority="47">
      <formula>AND($G$13:$K$13=FALSE)</formula>
    </cfRule>
  </conditionalFormatting>
  <conditionalFormatting sqref="C14">
    <cfRule type="expression" dxfId="361" priority="18">
      <formula>AND($G$15:$K$15=FALSE)</formula>
    </cfRule>
  </conditionalFormatting>
  <conditionalFormatting sqref="C16">
    <cfRule type="expression" dxfId="360" priority="15">
      <formula>AND($G$17:$K$17=FALSE)</formula>
    </cfRule>
  </conditionalFormatting>
  <conditionalFormatting sqref="C18">
    <cfRule type="expression" dxfId="359" priority="14">
      <formula>AND($G$19:$I$19=FALSE)</formula>
    </cfRule>
  </conditionalFormatting>
  <conditionalFormatting sqref="C20">
    <cfRule type="expression" dxfId="358" priority="13">
      <formula>AND($G$21:$I$21=FALSE)</formula>
    </cfRule>
  </conditionalFormatting>
  <conditionalFormatting sqref="C25">
    <cfRule type="expression" dxfId="357" priority="8">
      <formula>AND($G$26:$K$26=FALSE)</formula>
    </cfRule>
  </conditionalFormatting>
  <conditionalFormatting sqref="C27">
    <cfRule type="expression" dxfId="356" priority="7">
      <formula>AND($G$28:$K$28=FALSE)</formula>
    </cfRule>
  </conditionalFormatting>
  <conditionalFormatting sqref="C29">
    <cfRule type="expression" dxfId="355" priority="3">
      <formula>AND($G$30:$K$30=FALSE)</formula>
    </cfRule>
  </conditionalFormatting>
  <conditionalFormatting sqref="C31">
    <cfRule type="expression" dxfId="354" priority="6">
      <formula>AND($G$32:$K$32=FALSE)</formula>
    </cfRule>
  </conditionalFormatting>
  <conditionalFormatting sqref="C35">
    <cfRule type="expression" dxfId="353" priority="9">
      <formula>AND($G$36:$K$36=FALSE)</formula>
    </cfRule>
  </conditionalFormatting>
  <conditionalFormatting sqref="C39">
    <cfRule type="expression" dxfId="352" priority="2">
      <formula>AND($G$40:$K$40=FALSE)</formula>
    </cfRule>
  </conditionalFormatting>
  <conditionalFormatting sqref="C41">
    <cfRule type="expression" dxfId="351" priority="4">
      <formula>AND($G$42:$K$42=FALSE)</formula>
    </cfRule>
  </conditionalFormatting>
  <conditionalFormatting sqref="C10:F11">
    <cfRule type="expression" dxfId="350" priority="17">
      <formula>AND($G$11:$I$11=FALSE)</formula>
    </cfRule>
  </conditionalFormatting>
  <conditionalFormatting sqref="C22:F23">
    <cfRule type="expression" dxfId="349" priority="12">
      <formula>AND($G$23:$K$23=FALSE)</formula>
    </cfRule>
  </conditionalFormatting>
  <conditionalFormatting sqref="C33:F34">
    <cfRule type="expression" dxfId="348" priority="5">
      <formula>AND($G$34:$K$34=FALSE)</formula>
    </cfRule>
  </conditionalFormatting>
  <conditionalFormatting sqref="C37:F38">
    <cfRule type="expression" dxfId="347" priority="1">
      <formula>AND($G$38:$K$38=FALSE)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0339-C816-4363-BE6F-5F944B9AA2A0}">
  <sheetPr codeName="Feuil17"/>
  <dimension ref="B2:N46"/>
  <sheetViews>
    <sheetView showGridLines="0" tabSelected="1" showWhiteSpace="0" view="pageBreakPreview" topLeftCell="A39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2" width="11.6640625" style="19"/>
    <col min="13" max="14" width="3.77734375" style="19" customWidth="1"/>
    <col min="15" max="16384" width="11.6640625" style="19"/>
  </cols>
  <sheetData>
    <row r="2" spans="2:14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4" ht="18" x14ac:dyDescent="0.3">
      <c r="B3" s="20"/>
      <c r="C3" s="22"/>
      <c r="D3" s="22"/>
      <c r="E3" s="22"/>
      <c r="F3" s="208" t="s">
        <v>826</v>
      </c>
      <c r="G3" s="208"/>
      <c r="H3" s="208"/>
      <c r="I3" s="208"/>
      <c r="J3" s="208"/>
      <c r="K3" s="208"/>
      <c r="L3" s="208"/>
      <c r="M3" s="20"/>
      <c r="N3" s="23"/>
    </row>
    <row r="4" spans="2:14" ht="18" customHeight="1" x14ac:dyDescent="0.3">
      <c r="B4" s="20"/>
      <c r="C4" s="20"/>
      <c r="D4" s="20"/>
      <c r="E4" s="20"/>
      <c r="F4" s="208"/>
      <c r="G4" s="208"/>
      <c r="H4" s="208"/>
      <c r="I4" s="208"/>
      <c r="J4" s="208"/>
      <c r="K4" s="208"/>
      <c r="L4" s="208"/>
      <c r="M4" s="20"/>
    </row>
    <row r="5" spans="2:14" x14ac:dyDescent="0.3">
      <c r="B5" s="20"/>
      <c r="C5" s="20"/>
      <c r="D5" s="20"/>
      <c r="E5" s="20"/>
      <c r="F5" s="208"/>
      <c r="G5" s="208"/>
      <c r="H5" s="208"/>
      <c r="I5" s="208"/>
      <c r="J5" s="208"/>
      <c r="K5" s="208"/>
      <c r="L5" s="208"/>
      <c r="M5" s="20"/>
    </row>
    <row r="6" spans="2:14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1"/>
      <c r="M6" s="20"/>
      <c r="N6" s="24"/>
    </row>
    <row r="7" spans="2:14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30"/>
      <c r="N7" s="24"/>
    </row>
    <row r="8" spans="2:14" ht="18" x14ac:dyDescent="0.4">
      <c r="B8" s="20"/>
      <c r="C8" s="203" t="s">
        <v>244</v>
      </c>
      <c r="D8" s="203"/>
      <c r="E8" s="203"/>
      <c r="F8" s="203"/>
      <c r="G8" s="203"/>
      <c r="H8" s="20"/>
      <c r="I8" s="20"/>
      <c r="J8" s="20"/>
      <c r="K8" s="20"/>
      <c r="L8" s="20"/>
      <c r="M8" s="20"/>
    </row>
    <row r="9" spans="2:14" ht="18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1"/>
      <c r="M9" s="20"/>
    </row>
    <row r="10" spans="2:14" ht="16.350000000000001" customHeight="1" x14ac:dyDescent="0.3">
      <c r="B10" s="20"/>
      <c r="C10" s="198" t="s">
        <v>245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140"/>
      <c r="L10" s="88"/>
      <c r="M10" s="20"/>
    </row>
    <row r="11" spans="2:14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83"/>
      <c r="L11" s="90"/>
      <c r="M11" s="20"/>
    </row>
    <row r="12" spans="2:14" ht="48.6" customHeight="1" x14ac:dyDescent="0.3">
      <c r="B12" s="20"/>
      <c r="C12" s="198" t="s">
        <v>229</v>
      </c>
      <c r="D12" s="198"/>
      <c r="E12" s="198"/>
      <c r="F12" s="198"/>
      <c r="G12" s="87" t="s">
        <v>58</v>
      </c>
      <c r="H12" s="84" t="s">
        <v>246</v>
      </c>
      <c r="I12" s="84" t="s">
        <v>230</v>
      </c>
      <c r="J12" s="84" t="s">
        <v>231</v>
      </c>
      <c r="K12" s="84" t="s">
        <v>232</v>
      </c>
      <c r="L12" s="98" t="s">
        <v>233</v>
      </c>
      <c r="M12" s="20"/>
    </row>
    <row r="13" spans="2:14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6" t="b">
        <v>0</v>
      </c>
      <c r="K13" s="96" t="b">
        <v>0</v>
      </c>
      <c r="L13" s="97" t="b">
        <v>0</v>
      </c>
      <c r="M13" s="20"/>
    </row>
    <row r="14" spans="2:14" ht="16.2" x14ac:dyDescent="0.3">
      <c r="B14" s="20"/>
      <c r="C14" s="198" t="s">
        <v>234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140">
        <v>3</v>
      </c>
      <c r="L14" s="88"/>
      <c r="M14" s="20"/>
    </row>
    <row r="15" spans="2:14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82" t="b">
        <v>0</v>
      </c>
      <c r="L15" s="95"/>
      <c r="M15" s="20"/>
    </row>
    <row r="16" spans="2:14" ht="16.2" x14ac:dyDescent="0.3">
      <c r="B16" s="20"/>
      <c r="C16" s="198" t="s">
        <v>235</v>
      </c>
      <c r="D16" s="198"/>
      <c r="E16" s="198"/>
      <c r="F16" s="198"/>
      <c r="G16" s="87" t="s">
        <v>58</v>
      </c>
      <c r="H16" s="140">
        <v>0</v>
      </c>
      <c r="I16" s="140">
        <v>1</v>
      </c>
      <c r="J16" s="140">
        <v>2</v>
      </c>
      <c r="K16" s="140">
        <v>3</v>
      </c>
      <c r="L16" s="88"/>
      <c r="M16" s="20"/>
    </row>
    <row r="17" spans="2:13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2" t="b">
        <v>0</v>
      </c>
      <c r="K17" s="82" t="b">
        <v>0</v>
      </c>
      <c r="L17" s="95"/>
      <c r="M17" s="20"/>
    </row>
    <row r="18" spans="2:13" ht="16.2" x14ac:dyDescent="0.3">
      <c r="B18" s="20"/>
      <c r="C18" s="198" t="s">
        <v>236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140"/>
      <c r="L18" s="88"/>
      <c r="M18" s="20"/>
    </row>
    <row r="19" spans="2:13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83"/>
      <c r="L19" s="90"/>
      <c r="M19" s="20"/>
    </row>
    <row r="20" spans="2:13" ht="16.350000000000001" customHeight="1" x14ac:dyDescent="0.3">
      <c r="B20" s="20"/>
      <c r="C20" s="198" t="s">
        <v>238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140"/>
      <c r="L20" s="88"/>
      <c r="M20" s="20"/>
    </row>
    <row r="21" spans="2:13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4"/>
      <c r="L21" s="95"/>
      <c r="M21" s="20"/>
    </row>
    <row r="22" spans="2:13" ht="24" customHeight="1" x14ac:dyDescent="0.4">
      <c r="B22" s="20"/>
      <c r="C22" s="22" t="s">
        <v>220</v>
      </c>
      <c r="D22" s="22"/>
      <c r="E22" s="22"/>
      <c r="F22" s="20"/>
      <c r="G22" s="20"/>
      <c r="H22" s="20"/>
      <c r="I22" s="20"/>
      <c r="J22" s="21"/>
      <c r="K22" s="21"/>
      <c r="L22" s="21"/>
      <c r="M22" s="20"/>
    </row>
    <row r="23" spans="2:13" ht="16.2" x14ac:dyDescent="0.3">
      <c r="B23" s="20"/>
      <c r="C23" s="198" t="s">
        <v>239</v>
      </c>
      <c r="D23" s="198"/>
      <c r="E23" s="198"/>
      <c r="F23" s="198"/>
      <c r="G23" s="87" t="s">
        <v>58</v>
      </c>
      <c r="H23" s="140">
        <v>0</v>
      </c>
      <c r="I23" s="140">
        <v>1</v>
      </c>
      <c r="J23" s="140">
        <v>2</v>
      </c>
      <c r="K23" s="88">
        <v>3</v>
      </c>
      <c r="L23" s="25"/>
      <c r="M23" s="20"/>
    </row>
    <row r="24" spans="2:13" x14ac:dyDescent="0.3">
      <c r="B24" s="20"/>
      <c r="C24" s="198"/>
      <c r="D24" s="198"/>
      <c r="E24" s="198"/>
      <c r="F24" s="198"/>
      <c r="G24" s="89" t="b">
        <v>0</v>
      </c>
      <c r="H24" s="82" t="b">
        <v>0</v>
      </c>
      <c r="I24" s="82" t="b">
        <v>0</v>
      </c>
      <c r="J24" s="82" t="b">
        <v>0</v>
      </c>
      <c r="K24" s="91" t="b">
        <v>0</v>
      </c>
      <c r="L24" s="38"/>
      <c r="M24" s="20"/>
    </row>
    <row r="25" spans="2:13" ht="16.2" x14ac:dyDescent="0.3">
      <c r="B25" s="20"/>
      <c r="C25" s="198" t="s">
        <v>240</v>
      </c>
      <c r="D25" s="198"/>
      <c r="E25" s="198"/>
      <c r="F25" s="198"/>
      <c r="G25" s="87" t="s">
        <v>58</v>
      </c>
      <c r="H25" s="140">
        <v>0</v>
      </c>
      <c r="I25" s="140">
        <v>1</v>
      </c>
      <c r="J25" s="140">
        <v>2</v>
      </c>
      <c r="K25" s="88">
        <v>3</v>
      </c>
      <c r="L25" s="25"/>
      <c r="M25" s="20"/>
    </row>
    <row r="26" spans="2:13" ht="14.7" customHeight="1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82" t="b">
        <v>0</v>
      </c>
      <c r="K26" s="91" t="b">
        <v>0</v>
      </c>
      <c r="L26" s="38"/>
      <c r="M26" s="20"/>
    </row>
    <row r="27" spans="2:13" ht="16.2" x14ac:dyDescent="0.3">
      <c r="B27" s="20"/>
      <c r="C27" s="197" t="s">
        <v>223</v>
      </c>
      <c r="D27" s="197"/>
      <c r="E27" s="197"/>
      <c r="F27" s="197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5"/>
      <c r="M27" s="20"/>
    </row>
    <row r="28" spans="2:13" ht="14.7" customHeight="1" x14ac:dyDescent="0.3">
      <c r="B28" s="20"/>
      <c r="C28" s="197"/>
      <c r="D28" s="197"/>
      <c r="E28" s="197"/>
      <c r="F28" s="197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38"/>
      <c r="M28" s="20"/>
    </row>
    <row r="29" spans="2:13" ht="16.2" x14ac:dyDescent="0.3">
      <c r="B29" s="20"/>
      <c r="C29" s="197" t="s">
        <v>224</v>
      </c>
      <c r="D29" s="197"/>
      <c r="E29" s="197"/>
      <c r="F29" s="197"/>
      <c r="G29" s="87" t="s">
        <v>58</v>
      </c>
      <c r="H29" s="140">
        <v>0</v>
      </c>
      <c r="I29" s="140">
        <v>1</v>
      </c>
      <c r="J29" s="140">
        <v>2</v>
      </c>
      <c r="K29" s="88">
        <v>3</v>
      </c>
      <c r="L29" s="25"/>
      <c r="M29" s="20"/>
    </row>
    <row r="30" spans="2:13" ht="14.7" customHeight="1" x14ac:dyDescent="0.3">
      <c r="B30" s="20"/>
      <c r="C30" s="197"/>
      <c r="D30" s="197"/>
      <c r="E30" s="197"/>
      <c r="F30" s="197"/>
      <c r="G30" s="89" t="b">
        <v>0</v>
      </c>
      <c r="H30" s="82" t="b">
        <v>0</v>
      </c>
      <c r="I30" s="82" t="b">
        <v>0</v>
      </c>
      <c r="J30" s="82" t="b">
        <v>0</v>
      </c>
      <c r="K30" s="91" t="b">
        <v>0</v>
      </c>
      <c r="L30" s="38"/>
      <c r="M30" s="20"/>
    </row>
    <row r="31" spans="2:13" ht="16.350000000000001" customHeight="1" x14ac:dyDescent="0.3">
      <c r="B31" s="20"/>
      <c r="C31" s="198" t="s">
        <v>247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5"/>
      <c r="M31" s="20"/>
    </row>
    <row r="32" spans="2:13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38"/>
      <c r="M32" s="20"/>
    </row>
    <row r="33" spans="2:13" ht="16.2" x14ac:dyDescent="0.3">
      <c r="B33" s="20"/>
      <c r="C33" s="198" t="s">
        <v>225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5"/>
      <c r="M33" s="20"/>
    </row>
    <row r="34" spans="2:13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38"/>
      <c r="M34" s="20"/>
    </row>
    <row r="35" spans="2:13" ht="16.350000000000001" customHeight="1" x14ac:dyDescent="0.3">
      <c r="B35" s="20"/>
      <c r="C35" s="198" t="s">
        <v>226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5"/>
      <c r="M35" s="20"/>
    </row>
    <row r="36" spans="2:13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38"/>
      <c r="M36" s="20"/>
    </row>
    <row r="37" spans="2:13" ht="16.2" x14ac:dyDescent="0.3">
      <c r="B37" s="20"/>
      <c r="C37" s="198" t="s">
        <v>242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5"/>
      <c r="M37" s="20"/>
    </row>
    <row r="38" spans="2:13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38"/>
      <c r="M38" s="20"/>
    </row>
    <row r="39" spans="2:13" ht="16.350000000000001" customHeight="1" x14ac:dyDescent="0.3">
      <c r="B39" s="20"/>
      <c r="C39" s="198" t="s">
        <v>243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5"/>
      <c r="M39" s="20"/>
    </row>
    <row r="40" spans="2:13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94"/>
      <c r="K40" s="95"/>
      <c r="L40" s="38"/>
      <c r="M40" s="20"/>
    </row>
    <row r="41" spans="2:13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3" x14ac:dyDescent="0.3">
      <c r="B42" s="29"/>
      <c r="C42" s="29"/>
      <c r="D42" s="29"/>
      <c r="E42" s="29"/>
      <c r="F42" s="31"/>
      <c r="G42" s="31"/>
      <c r="H42" s="31"/>
      <c r="I42" s="30"/>
      <c r="J42" s="30"/>
      <c r="K42" s="30"/>
      <c r="L42" s="30"/>
      <c r="M42" s="30"/>
    </row>
    <row r="43" spans="2:13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3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2:13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2:13" x14ac:dyDescent="0.3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sheetProtection sheet="1" objects="1" scenarios="1"/>
  <mergeCells count="17">
    <mergeCell ref="C8:G8"/>
    <mergeCell ref="C10:F11"/>
    <mergeCell ref="C12:F13"/>
    <mergeCell ref="C14:F15"/>
    <mergeCell ref="F3:L5"/>
    <mergeCell ref="C16:F17"/>
    <mergeCell ref="C39:F40"/>
    <mergeCell ref="C18:F19"/>
    <mergeCell ref="C20:F21"/>
    <mergeCell ref="C23:F24"/>
    <mergeCell ref="C25:F26"/>
    <mergeCell ref="C27:F28"/>
    <mergeCell ref="C29:F30"/>
    <mergeCell ref="C31:F32"/>
    <mergeCell ref="C33:F34"/>
    <mergeCell ref="C35:F36"/>
    <mergeCell ref="C37:F38"/>
  </mergeCells>
  <conditionalFormatting sqref="C12">
    <cfRule type="expression" dxfId="346" priority="14">
      <formula>AND($G$13:$L$13=FALSE)</formula>
    </cfRule>
  </conditionalFormatting>
  <conditionalFormatting sqref="C14">
    <cfRule type="expression" dxfId="345" priority="16">
      <formula>AND($G$15:$K$15=FALSE)</formula>
    </cfRule>
  </conditionalFormatting>
  <conditionalFormatting sqref="C16">
    <cfRule type="expression" dxfId="344" priority="13">
      <formula>AND($G$17:$K$17=FALSE)</formula>
    </cfRule>
  </conditionalFormatting>
  <conditionalFormatting sqref="C18">
    <cfRule type="expression" dxfId="343" priority="12">
      <formula>AND($G$19:$I$19=FALSE)</formula>
    </cfRule>
  </conditionalFormatting>
  <conditionalFormatting sqref="C23">
    <cfRule type="expression" dxfId="342" priority="8">
      <formula>AND($G$24:$K$24=FALSE)</formula>
    </cfRule>
  </conditionalFormatting>
  <conditionalFormatting sqref="C25">
    <cfRule type="expression" dxfId="341" priority="7">
      <formula>AND($G$26:$K$26=FALSE)</formula>
    </cfRule>
  </conditionalFormatting>
  <conditionalFormatting sqref="C27">
    <cfRule type="expression" dxfId="340" priority="3">
      <formula>AND($G$28:$K$28=FALSE)</formula>
    </cfRule>
  </conditionalFormatting>
  <conditionalFormatting sqref="C29">
    <cfRule type="expression" dxfId="339" priority="6">
      <formula>AND($G$30:$K$30=FALSE)</formula>
    </cfRule>
  </conditionalFormatting>
  <conditionalFormatting sqref="C33">
    <cfRule type="expression" dxfId="338" priority="9">
      <formula>AND($G$34:$K$34=FALSE)</formula>
    </cfRule>
  </conditionalFormatting>
  <conditionalFormatting sqref="C37">
    <cfRule type="expression" dxfId="337" priority="2">
      <formula>AND($G$38:$K$38=FALSE)</formula>
    </cfRule>
  </conditionalFormatting>
  <conditionalFormatting sqref="C39">
    <cfRule type="expression" dxfId="336" priority="4">
      <formula>AND($G$40:$K$40=FALSE)</formula>
    </cfRule>
  </conditionalFormatting>
  <conditionalFormatting sqref="C10:F11">
    <cfRule type="expression" dxfId="335" priority="15">
      <formula>AND($G$11:$I$11=FALSE)</formula>
    </cfRule>
  </conditionalFormatting>
  <conditionalFormatting sqref="C20:F21">
    <cfRule type="expression" dxfId="334" priority="10">
      <formula>AND($G$21:$K$21=FALSE)</formula>
    </cfRule>
  </conditionalFormatting>
  <conditionalFormatting sqref="C31:F32">
    <cfRule type="expression" dxfId="333" priority="5">
      <formula>AND($G$32:$K$32=FALSE)</formula>
    </cfRule>
  </conditionalFormatting>
  <conditionalFormatting sqref="C35:F36">
    <cfRule type="expression" dxfId="332" priority="1">
      <formula>AND($G$36:$K$36=FALSE)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2DFD-EF5B-4FB6-9F15-F01A5B685F26}">
  <sheetPr codeName="Feuil19"/>
  <dimension ref="B2:N48"/>
  <sheetViews>
    <sheetView showGridLines="0" tabSelected="1" showWhiteSpace="0" view="pageBreakPreview" topLeftCell="A27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2" width="11.6640625" style="19"/>
    <col min="13" max="14" width="3.77734375" style="19" customWidth="1"/>
    <col min="15" max="16384" width="11.6640625" style="19"/>
  </cols>
  <sheetData>
    <row r="2" spans="2:14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4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158"/>
      <c r="M3" s="20"/>
      <c r="N3" s="23"/>
    </row>
    <row r="4" spans="2:14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158"/>
      <c r="M4" s="20"/>
    </row>
    <row r="5" spans="2:14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158"/>
      <c r="M5" s="20"/>
    </row>
    <row r="6" spans="2:14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1"/>
      <c r="M6" s="20"/>
      <c r="N6" s="24"/>
    </row>
    <row r="7" spans="2:14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30"/>
      <c r="N7" s="24"/>
    </row>
    <row r="8" spans="2:14" ht="18" x14ac:dyDescent="0.4">
      <c r="B8" s="20"/>
      <c r="C8" s="203" t="s">
        <v>248</v>
      </c>
      <c r="D8" s="203"/>
      <c r="E8" s="203"/>
      <c r="F8" s="203"/>
      <c r="G8" s="203"/>
      <c r="H8" s="20"/>
      <c r="I8" s="20"/>
      <c r="J8" s="20"/>
      <c r="K8" s="20"/>
      <c r="L8" s="20"/>
      <c r="M8" s="20"/>
    </row>
    <row r="9" spans="2:14" ht="18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1"/>
      <c r="M9" s="20"/>
    </row>
    <row r="10" spans="2:14" ht="16.350000000000001" customHeight="1" x14ac:dyDescent="0.3">
      <c r="B10" s="20"/>
      <c r="C10" s="198" t="s">
        <v>249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140"/>
      <c r="L10" s="88"/>
      <c r="M10" s="20"/>
    </row>
    <row r="11" spans="2:14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83"/>
      <c r="L11" s="90"/>
      <c r="M11" s="20"/>
    </row>
    <row r="12" spans="2:14" ht="66.599999999999994" customHeight="1" x14ac:dyDescent="0.3">
      <c r="B12" s="20"/>
      <c r="C12" s="198" t="s">
        <v>229</v>
      </c>
      <c r="D12" s="198"/>
      <c r="E12" s="198"/>
      <c r="F12" s="198"/>
      <c r="G12" s="87" t="s">
        <v>210</v>
      </c>
      <c r="H12" s="84" t="s">
        <v>246</v>
      </c>
      <c r="I12" s="84" t="s">
        <v>250</v>
      </c>
      <c r="J12" s="84" t="s">
        <v>251</v>
      </c>
      <c r="K12" s="84" t="s">
        <v>252</v>
      </c>
      <c r="L12" s="98" t="s">
        <v>253</v>
      </c>
      <c r="M12" s="20"/>
    </row>
    <row r="13" spans="2:14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6" t="b">
        <v>0</v>
      </c>
      <c r="K13" s="96" t="b">
        <v>0</v>
      </c>
      <c r="L13" s="97" t="b">
        <v>0</v>
      </c>
      <c r="M13" s="20"/>
    </row>
    <row r="14" spans="2:14" ht="16.2" x14ac:dyDescent="0.3">
      <c r="B14" s="20"/>
      <c r="C14" s="198" t="s">
        <v>234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140">
        <v>3</v>
      </c>
      <c r="L14" s="88"/>
      <c r="M14" s="20"/>
    </row>
    <row r="15" spans="2:14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82" t="b">
        <v>0</v>
      </c>
      <c r="L15" s="95"/>
      <c r="M15" s="20"/>
    </row>
    <row r="16" spans="2:14" ht="16.2" x14ac:dyDescent="0.3">
      <c r="B16" s="20"/>
      <c r="C16" s="198" t="s">
        <v>235</v>
      </c>
      <c r="D16" s="198"/>
      <c r="E16" s="198"/>
      <c r="F16" s="198"/>
      <c r="G16" s="87" t="s">
        <v>58</v>
      </c>
      <c r="H16" s="140">
        <v>0</v>
      </c>
      <c r="I16" s="140">
        <v>1</v>
      </c>
      <c r="J16" s="140">
        <v>2</v>
      </c>
      <c r="K16" s="140">
        <v>3</v>
      </c>
      <c r="L16" s="88"/>
      <c r="M16" s="20"/>
    </row>
    <row r="17" spans="2:13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2" t="b">
        <v>0</v>
      </c>
      <c r="K17" s="82" t="b">
        <v>0</v>
      </c>
      <c r="L17" s="95"/>
      <c r="M17" s="20"/>
    </row>
    <row r="18" spans="2:13" ht="16.2" x14ac:dyDescent="0.3">
      <c r="B18" s="20"/>
      <c r="C18" s="198" t="s">
        <v>254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140"/>
      <c r="L18" s="88"/>
      <c r="M18" s="20"/>
    </row>
    <row r="19" spans="2:13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83"/>
      <c r="L19" s="90"/>
      <c r="M19" s="20"/>
    </row>
    <row r="20" spans="2:13" ht="16.350000000000001" customHeight="1" x14ac:dyDescent="0.3">
      <c r="B20" s="20"/>
      <c r="C20" s="198" t="s">
        <v>238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140"/>
      <c r="L20" s="88"/>
      <c r="M20" s="20"/>
    </row>
    <row r="21" spans="2:13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4"/>
      <c r="L21" s="95"/>
      <c r="M21" s="20"/>
    </row>
    <row r="22" spans="2:13" ht="24" customHeight="1" x14ac:dyDescent="0.4">
      <c r="B22" s="20"/>
      <c r="C22" s="22" t="s">
        <v>220</v>
      </c>
      <c r="D22" s="22"/>
      <c r="E22" s="22"/>
      <c r="F22" s="20"/>
      <c r="G22" s="20"/>
      <c r="H22" s="20"/>
      <c r="I22" s="20"/>
      <c r="J22" s="21"/>
      <c r="K22" s="21"/>
      <c r="L22" s="21"/>
      <c r="M22" s="20"/>
    </row>
    <row r="23" spans="2:13" ht="16.2" x14ac:dyDescent="0.3">
      <c r="B23" s="20"/>
      <c r="C23" s="198" t="s">
        <v>255</v>
      </c>
      <c r="D23" s="198"/>
      <c r="E23" s="198"/>
      <c r="F23" s="198"/>
      <c r="G23" s="87" t="s">
        <v>58</v>
      </c>
      <c r="H23" s="140">
        <v>0</v>
      </c>
      <c r="I23" s="140">
        <v>1</v>
      </c>
      <c r="J23" s="140">
        <v>2</v>
      </c>
      <c r="K23" s="88">
        <v>3</v>
      </c>
      <c r="L23" s="25"/>
      <c r="M23" s="20"/>
    </row>
    <row r="24" spans="2:13" x14ac:dyDescent="0.3">
      <c r="B24" s="20"/>
      <c r="C24" s="198"/>
      <c r="D24" s="198"/>
      <c r="E24" s="198"/>
      <c r="F24" s="198"/>
      <c r="G24" s="89" t="b">
        <v>0</v>
      </c>
      <c r="H24" s="82" t="b">
        <v>0</v>
      </c>
      <c r="I24" s="82" t="b">
        <v>0</v>
      </c>
      <c r="J24" s="82" t="b">
        <v>0</v>
      </c>
      <c r="K24" s="91" t="b">
        <v>0</v>
      </c>
      <c r="L24" s="38"/>
      <c r="M24" s="20"/>
    </row>
    <row r="25" spans="2:13" ht="16.2" x14ac:dyDescent="0.3">
      <c r="B25" s="20"/>
      <c r="C25" s="198" t="s">
        <v>256</v>
      </c>
      <c r="D25" s="198"/>
      <c r="E25" s="198"/>
      <c r="F25" s="198"/>
      <c r="G25" s="87" t="s">
        <v>58</v>
      </c>
      <c r="H25" s="140">
        <v>0</v>
      </c>
      <c r="I25" s="140">
        <v>1</v>
      </c>
      <c r="J25" s="140">
        <v>2</v>
      </c>
      <c r="K25" s="88">
        <v>3</v>
      </c>
      <c r="L25" s="25"/>
      <c r="M25" s="20"/>
    </row>
    <row r="26" spans="2:13" ht="14.7" customHeight="1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82" t="b">
        <v>0</v>
      </c>
      <c r="K26" s="91" t="b">
        <v>0</v>
      </c>
      <c r="L26" s="38"/>
      <c r="M26" s="20"/>
    </row>
    <row r="27" spans="2:13" ht="16.2" x14ac:dyDescent="0.3">
      <c r="B27" s="20"/>
      <c r="C27" s="197" t="s">
        <v>257</v>
      </c>
      <c r="D27" s="197"/>
      <c r="E27" s="197"/>
      <c r="F27" s="197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5"/>
      <c r="M27" s="20"/>
    </row>
    <row r="28" spans="2:13" ht="14.7" customHeight="1" x14ac:dyDescent="0.3">
      <c r="B28" s="20"/>
      <c r="C28" s="197"/>
      <c r="D28" s="197"/>
      <c r="E28" s="197"/>
      <c r="F28" s="197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38"/>
      <c r="M28" s="20"/>
    </row>
    <row r="29" spans="2:13" ht="16.2" x14ac:dyDescent="0.3">
      <c r="B29" s="20"/>
      <c r="C29" s="197" t="s">
        <v>258</v>
      </c>
      <c r="D29" s="197"/>
      <c r="E29" s="197"/>
      <c r="F29" s="197"/>
      <c r="G29" s="87" t="s">
        <v>58</v>
      </c>
      <c r="H29" s="140">
        <v>0</v>
      </c>
      <c r="I29" s="140">
        <v>1</v>
      </c>
      <c r="J29" s="140">
        <v>2</v>
      </c>
      <c r="K29" s="88">
        <v>3</v>
      </c>
      <c r="L29" s="25"/>
      <c r="M29" s="20"/>
    </row>
    <row r="30" spans="2:13" ht="14.7" customHeight="1" x14ac:dyDescent="0.3">
      <c r="B30" s="20"/>
      <c r="C30" s="197"/>
      <c r="D30" s="197"/>
      <c r="E30" s="197"/>
      <c r="F30" s="197"/>
      <c r="G30" s="89" t="b">
        <v>0</v>
      </c>
      <c r="H30" s="82" t="b">
        <v>0</v>
      </c>
      <c r="I30" s="82" t="b">
        <v>0</v>
      </c>
      <c r="J30" s="82" t="b">
        <v>0</v>
      </c>
      <c r="K30" s="91" t="b">
        <v>0</v>
      </c>
      <c r="L30" s="38"/>
      <c r="M30" s="20"/>
    </row>
    <row r="31" spans="2:13" ht="16.2" x14ac:dyDescent="0.3">
      <c r="B31" s="20"/>
      <c r="C31" s="198" t="s">
        <v>259</v>
      </c>
      <c r="D31" s="198"/>
      <c r="E31" s="198"/>
      <c r="F31" s="198"/>
      <c r="G31" s="87" t="s">
        <v>58</v>
      </c>
      <c r="H31" s="140">
        <v>0</v>
      </c>
      <c r="I31" s="140">
        <v>1</v>
      </c>
      <c r="J31" s="140">
        <v>2</v>
      </c>
      <c r="K31" s="88">
        <v>3</v>
      </c>
      <c r="L31" s="25"/>
      <c r="M31" s="20"/>
    </row>
    <row r="32" spans="2:13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82" t="b">
        <v>0</v>
      </c>
      <c r="K32" s="91" t="b">
        <v>0</v>
      </c>
      <c r="L32" s="38"/>
      <c r="M32" s="20"/>
    </row>
    <row r="33" spans="2:13" ht="16.350000000000001" customHeight="1" x14ac:dyDescent="0.3">
      <c r="B33" s="20"/>
      <c r="C33" s="198" t="s">
        <v>260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5"/>
      <c r="M33" s="20"/>
    </row>
    <row r="34" spans="2:13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38"/>
      <c r="M34" s="20"/>
    </row>
    <row r="35" spans="2:13" ht="16.2" x14ac:dyDescent="0.3">
      <c r="B35" s="20"/>
      <c r="C35" s="198" t="s">
        <v>242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5"/>
      <c r="M35" s="20"/>
    </row>
    <row r="36" spans="2:13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94"/>
      <c r="K36" s="95"/>
      <c r="L36" s="38"/>
      <c r="M36" s="20"/>
    </row>
    <row r="37" spans="2:13" ht="16.350000000000001" customHeight="1" x14ac:dyDescent="0.3">
      <c r="B37" s="20"/>
      <c r="C37" s="198" t="s">
        <v>243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5"/>
      <c r="M37" s="20"/>
    </row>
    <row r="38" spans="2:13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38"/>
      <c r="M38" s="20"/>
    </row>
    <row r="39" spans="2:13" ht="16.2" x14ac:dyDescent="0.3">
      <c r="B39" s="20"/>
      <c r="C39" s="197" t="s">
        <v>261</v>
      </c>
      <c r="D39" s="197"/>
      <c r="E39" s="197"/>
      <c r="F39" s="197"/>
      <c r="G39" s="87" t="s">
        <v>58</v>
      </c>
      <c r="H39" s="140">
        <v>0</v>
      </c>
      <c r="I39" s="140">
        <v>1</v>
      </c>
      <c r="J39" s="140">
        <v>2</v>
      </c>
      <c r="K39" s="88">
        <v>3</v>
      </c>
      <c r="L39" s="25"/>
      <c r="M39" s="20"/>
    </row>
    <row r="40" spans="2:13" ht="14.7" customHeight="1" x14ac:dyDescent="0.3">
      <c r="B40" s="20"/>
      <c r="C40" s="197"/>
      <c r="D40" s="197"/>
      <c r="E40" s="197"/>
      <c r="F40" s="197"/>
      <c r="G40" s="89" t="b">
        <v>0</v>
      </c>
      <c r="H40" s="82" t="b">
        <v>0</v>
      </c>
      <c r="I40" s="82" t="b">
        <v>0</v>
      </c>
      <c r="J40" s="82" t="b">
        <v>0</v>
      </c>
      <c r="K40" s="91" t="b">
        <v>0</v>
      </c>
      <c r="L40" s="38"/>
      <c r="M40" s="20"/>
    </row>
    <row r="41" spans="2:13" ht="16.2" x14ac:dyDescent="0.3">
      <c r="B41" s="20"/>
      <c r="C41" s="197" t="s">
        <v>262</v>
      </c>
      <c r="D41" s="197"/>
      <c r="E41" s="197"/>
      <c r="F41" s="197"/>
      <c r="G41" s="87" t="s">
        <v>58</v>
      </c>
      <c r="H41" s="140">
        <v>0</v>
      </c>
      <c r="I41" s="140">
        <v>1</v>
      </c>
      <c r="J41" s="140">
        <v>2</v>
      </c>
      <c r="K41" s="88">
        <v>3</v>
      </c>
      <c r="L41" s="25"/>
      <c r="M41" s="20"/>
    </row>
    <row r="42" spans="2:13" ht="14.7" customHeight="1" x14ac:dyDescent="0.3">
      <c r="B42" s="20"/>
      <c r="C42" s="197"/>
      <c r="D42" s="197"/>
      <c r="E42" s="197"/>
      <c r="F42" s="197"/>
      <c r="G42" s="89" t="b">
        <v>0</v>
      </c>
      <c r="H42" s="82" t="b">
        <v>0</v>
      </c>
      <c r="I42" s="82" t="b">
        <v>0</v>
      </c>
      <c r="J42" s="82" t="b">
        <v>0</v>
      </c>
      <c r="K42" s="91" t="b">
        <v>0</v>
      </c>
      <c r="L42" s="38"/>
      <c r="M42" s="20"/>
    </row>
    <row r="43" spans="2:13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3" x14ac:dyDescent="0.3">
      <c r="B44" s="29"/>
      <c r="C44" s="29"/>
      <c r="D44" s="29"/>
      <c r="E44" s="29"/>
      <c r="F44" s="31"/>
      <c r="G44" s="31"/>
      <c r="H44" s="31"/>
      <c r="I44" s="30"/>
      <c r="J44" s="30"/>
      <c r="K44" s="30"/>
      <c r="L44" s="30"/>
      <c r="M44" s="30"/>
    </row>
    <row r="45" spans="2:13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2:13" x14ac:dyDescent="0.3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2:13" x14ac:dyDescent="0.3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2:13" x14ac:dyDescent="0.3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</sheetData>
  <sheetProtection sheet="1" objects="1" scenarios="1"/>
  <mergeCells count="18">
    <mergeCell ref="F3:L5"/>
    <mergeCell ref="C41:F42"/>
    <mergeCell ref="C31:F32"/>
    <mergeCell ref="C33:F34"/>
    <mergeCell ref="C35:F36"/>
    <mergeCell ref="C37:F38"/>
    <mergeCell ref="C39:F40"/>
    <mergeCell ref="C29:F30"/>
    <mergeCell ref="C8:G8"/>
    <mergeCell ref="C10:F11"/>
    <mergeCell ref="C12:F13"/>
    <mergeCell ref="C14:F15"/>
    <mergeCell ref="C16:F17"/>
    <mergeCell ref="C18:F19"/>
    <mergeCell ref="C20:F21"/>
    <mergeCell ref="C23:F24"/>
    <mergeCell ref="C25:F26"/>
    <mergeCell ref="C27:F28"/>
  </mergeCells>
  <conditionalFormatting sqref="C12">
    <cfRule type="expression" dxfId="331" priority="15">
      <formula>AND($G$13:$L$13=FALSE)</formula>
    </cfRule>
  </conditionalFormatting>
  <conditionalFormatting sqref="C14">
    <cfRule type="expression" dxfId="330" priority="17">
      <formula>AND($G$15:$K$15=FALSE)</formula>
    </cfRule>
  </conditionalFormatting>
  <conditionalFormatting sqref="C16">
    <cfRule type="expression" dxfId="329" priority="14">
      <formula>AND($G$17:$K$17=FALSE)</formula>
    </cfRule>
  </conditionalFormatting>
  <conditionalFormatting sqref="C18">
    <cfRule type="expression" dxfId="328" priority="13">
      <formula>AND($G$19:$I$19=FALSE)</formula>
    </cfRule>
  </conditionalFormatting>
  <conditionalFormatting sqref="C23">
    <cfRule type="expression" dxfId="327" priority="10">
      <formula>AND($G$24:$K$24=FALSE)</formula>
    </cfRule>
  </conditionalFormatting>
  <conditionalFormatting sqref="C25">
    <cfRule type="expression" dxfId="326" priority="9">
      <formula>AND($G$26:$K$26=FALSE)</formula>
    </cfRule>
  </conditionalFormatting>
  <conditionalFormatting sqref="C27">
    <cfRule type="expression" dxfId="325" priority="5">
      <formula>AND($G$28:$K$28=FALSE)</formula>
    </cfRule>
  </conditionalFormatting>
  <conditionalFormatting sqref="C29">
    <cfRule type="expression" dxfId="324" priority="8">
      <formula>AND($G$30:$K$30=FALSE)</formula>
    </cfRule>
  </conditionalFormatting>
  <conditionalFormatting sqref="C31">
    <cfRule type="expression" dxfId="323" priority="11">
      <formula>AND($G$32:$K$32=FALSE)</formula>
    </cfRule>
  </conditionalFormatting>
  <conditionalFormatting sqref="C35">
    <cfRule type="expression" dxfId="322" priority="4">
      <formula>AND($G$36:$K$36=FALSE)</formula>
    </cfRule>
  </conditionalFormatting>
  <conditionalFormatting sqref="C37">
    <cfRule type="expression" dxfId="321" priority="6">
      <formula>AND($G$38:$K$38=FALSE)</formula>
    </cfRule>
  </conditionalFormatting>
  <conditionalFormatting sqref="C39">
    <cfRule type="expression" dxfId="320" priority="2">
      <formula>AND($G$40:$K$40=FALSE)</formula>
    </cfRule>
  </conditionalFormatting>
  <conditionalFormatting sqref="C41">
    <cfRule type="expression" dxfId="319" priority="3">
      <formula>AND($G$42:$K$42=FALSE)</formula>
    </cfRule>
  </conditionalFormatting>
  <conditionalFormatting sqref="C10:F11">
    <cfRule type="expression" dxfId="318" priority="16">
      <formula>AND($G$11:$I$11=FALSE)</formula>
    </cfRule>
  </conditionalFormatting>
  <conditionalFormatting sqref="C20:F21">
    <cfRule type="expression" dxfId="317" priority="12">
      <formula>AND($G$21:$K$21=FALSE)</formula>
    </cfRule>
  </conditionalFormatting>
  <conditionalFormatting sqref="C33:F34">
    <cfRule type="expression" dxfId="316" priority="1">
      <formula>AND($G$34:$K$34=FALSE)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F79C-68F9-44A9-AC12-35683675AE00}">
  <sheetPr codeName="Feuil20"/>
  <dimension ref="B2:M45"/>
  <sheetViews>
    <sheetView showGridLines="0" tabSelected="1" view="pageBreakPreview" zoomScaleNormal="11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133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133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133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263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264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0" customHeight="1" x14ac:dyDescent="0.3">
      <c r="B10" s="20"/>
      <c r="C10" s="198" t="s">
        <v>265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266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267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268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24" customHeight="1" x14ac:dyDescent="0.4">
      <c r="B18" s="20"/>
      <c r="C18" s="22" t="s">
        <v>269</v>
      </c>
      <c r="D18" s="22"/>
      <c r="E18" s="22"/>
      <c r="F18" s="20"/>
      <c r="G18" s="20"/>
      <c r="H18" s="20"/>
      <c r="I18" s="20"/>
      <c r="J18" s="21"/>
      <c r="K18" s="21"/>
      <c r="L18" s="20"/>
    </row>
    <row r="19" spans="2:12" ht="16.2" x14ac:dyDescent="0.3">
      <c r="B19" s="20"/>
      <c r="C19" s="198" t="s">
        <v>270</v>
      </c>
      <c r="D19" s="198"/>
      <c r="E19" s="198"/>
      <c r="F19" s="198"/>
      <c r="G19" s="87" t="s">
        <v>58</v>
      </c>
      <c r="H19" s="140" t="s">
        <v>59</v>
      </c>
      <c r="I19" s="140" t="s">
        <v>60</v>
      </c>
      <c r="J19" s="140"/>
      <c r="K19" s="88"/>
      <c r="L19" s="20"/>
    </row>
    <row r="20" spans="2:12" x14ac:dyDescent="0.3">
      <c r="B20" s="20"/>
      <c r="C20" s="198"/>
      <c r="D20" s="198"/>
      <c r="E20" s="198"/>
      <c r="F20" s="198"/>
      <c r="G20" s="89" t="b">
        <v>0</v>
      </c>
      <c r="H20" s="82" t="b">
        <v>0</v>
      </c>
      <c r="I20" s="82" t="b">
        <v>0</v>
      </c>
      <c r="J20" s="94"/>
      <c r="K20" s="95"/>
      <c r="L20" s="20"/>
    </row>
    <row r="21" spans="2:12" ht="16.2" x14ac:dyDescent="0.3">
      <c r="B21" s="20"/>
      <c r="C21" s="198" t="s">
        <v>271</v>
      </c>
      <c r="D21" s="198"/>
      <c r="E21" s="198"/>
      <c r="F21" s="198"/>
      <c r="G21" s="87" t="s">
        <v>58</v>
      </c>
      <c r="H21" s="140">
        <v>0</v>
      </c>
      <c r="I21" s="140">
        <v>1</v>
      </c>
      <c r="J21" s="140">
        <v>2</v>
      </c>
      <c r="K21" s="88">
        <v>3</v>
      </c>
      <c r="L21" s="20"/>
    </row>
    <row r="22" spans="2:12" ht="14.7" customHeight="1" x14ac:dyDescent="0.3">
      <c r="B22" s="20"/>
      <c r="C22" s="198"/>
      <c r="D22" s="198"/>
      <c r="E22" s="198"/>
      <c r="F22" s="198"/>
      <c r="G22" s="89" t="b">
        <v>0</v>
      </c>
      <c r="H22" s="82" t="b">
        <v>0</v>
      </c>
      <c r="I22" s="82" t="b">
        <v>0</v>
      </c>
      <c r="J22" s="82" t="b">
        <v>0</v>
      </c>
      <c r="K22" s="91" t="b">
        <v>0</v>
      </c>
      <c r="L22" s="20"/>
    </row>
    <row r="23" spans="2:12" ht="16.2" x14ac:dyDescent="0.3">
      <c r="B23" s="20"/>
      <c r="C23" s="197" t="s">
        <v>272</v>
      </c>
      <c r="D23" s="197"/>
      <c r="E23" s="197"/>
      <c r="F23" s="197"/>
      <c r="G23" s="87" t="s">
        <v>58</v>
      </c>
      <c r="H23" s="140">
        <v>0</v>
      </c>
      <c r="I23" s="140">
        <v>1</v>
      </c>
      <c r="J23" s="140">
        <v>2</v>
      </c>
      <c r="K23" s="88">
        <v>3</v>
      </c>
      <c r="L23" s="20"/>
    </row>
    <row r="24" spans="2:12" ht="14.7" customHeight="1" x14ac:dyDescent="0.3">
      <c r="B24" s="20"/>
      <c r="C24" s="197"/>
      <c r="D24" s="197"/>
      <c r="E24" s="197"/>
      <c r="F24" s="197"/>
      <c r="G24" s="89" t="b">
        <v>0</v>
      </c>
      <c r="H24" s="82" t="b">
        <v>0</v>
      </c>
      <c r="I24" s="82" t="b">
        <v>0</v>
      </c>
      <c r="J24" s="82" t="b">
        <v>0</v>
      </c>
      <c r="K24" s="91" t="b">
        <v>0</v>
      </c>
      <c r="L24" s="20"/>
    </row>
    <row r="25" spans="2:12" ht="16.2" x14ac:dyDescent="0.3">
      <c r="B25" s="20"/>
      <c r="C25" s="197" t="s">
        <v>273</v>
      </c>
      <c r="D25" s="197"/>
      <c r="E25" s="197"/>
      <c r="F25" s="197"/>
      <c r="G25" s="87" t="s">
        <v>58</v>
      </c>
      <c r="H25" s="140" t="s">
        <v>59</v>
      </c>
      <c r="I25" s="140" t="s">
        <v>60</v>
      </c>
      <c r="J25" s="140"/>
      <c r="K25" s="88"/>
      <c r="L25" s="20"/>
    </row>
    <row r="26" spans="2:12" ht="14.7" customHeight="1" x14ac:dyDescent="0.3">
      <c r="B26" s="20"/>
      <c r="C26" s="197"/>
      <c r="D26" s="197"/>
      <c r="E26" s="197"/>
      <c r="F26" s="197"/>
      <c r="G26" s="89" t="b">
        <v>0</v>
      </c>
      <c r="H26" s="82" t="b">
        <v>0</v>
      </c>
      <c r="I26" s="82" t="b">
        <v>0</v>
      </c>
      <c r="J26" s="94"/>
      <c r="K26" s="95"/>
      <c r="L26" s="20"/>
    </row>
    <row r="27" spans="2:12" ht="24" customHeight="1" x14ac:dyDescent="0.4">
      <c r="B27" s="20"/>
      <c r="C27" s="22" t="s">
        <v>274</v>
      </c>
      <c r="D27" s="22"/>
      <c r="E27" s="22"/>
      <c r="F27" s="20"/>
      <c r="G27" s="20"/>
      <c r="H27" s="20"/>
      <c r="I27" s="20"/>
      <c r="J27" s="21"/>
      <c r="K27" s="21"/>
      <c r="L27" s="20"/>
    </row>
    <row r="28" spans="2:12" ht="30" customHeight="1" x14ac:dyDescent="0.3">
      <c r="B28" s="20"/>
      <c r="C28" s="198" t="s">
        <v>275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94"/>
      <c r="K29" s="95"/>
      <c r="L29" s="20"/>
    </row>
    <row r="30" spans="2:12" ht="30" customHeight="1" x14ac:dyDescent="0.3">
      <c r="B30" s="20"/>
      <c r="C30" s="198" t="s">
        <v>276</v>
      </c>
      <c r="D30" s="198"/>
      <c r="E30" s="198"/>
      <c r="F30" s="198"/>
      <c r="G30" s="87" t="s">
        <v>58</v>
      </c>
      <c r="H30" s="140" t="s">
        <v>59</v>
      </c>
      <c r="I30" s="140" t="s">
        <v>60</v>
      </c>
      <c r="J30" s="140"/>
      <c r="K30" s="88"/>
      <c r="L30" s="20"/>
    </row>
    <row r="31" spans="2:12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94"/>
      <c r="K31" s="95"/>
      <c r="L31" s="20"/>
    </row>
    <row r="32" spans="2:12" ht="16.350000000000001" customHeight="1" x14ac:dyDescent="0.3">
      <c r="B32" s="20"/>
      <c r="C32" s="198" t="s">
        <v>277</v>
      </c>
      <c r="D32" s="198"/>
      <c r="E32" s="198"/>
      <c r="F32" s="198"/>
      <c r="G32" s="87" t="s">
        <v>58</v>
      </c>
      <c r="H32" s="140" t="s">
        <v>59</v>
      </c>
      <c r="I32" s="140" t="s">
        <v>60</v>
      </c>
      <c r="J32" s="140"/>
      <c r="K32" s="88"/>
      <c r="L32" s="20"/>
    </row>
    <row r="33" spans="2:12" ht="14.7" customHeight="1" x14ac:dyDescent="0.3">
      <c r="B33" s="20"/>
      <c r="C33" s="198"/>
      <c r="D33" s="198"/>
      <c r="E33" s="198"/>
      <c r="F33" s="198"/>
      <c r="G33" s="89" t="b">
        <v>0</v>
      </c>
      <c r="H33" s="82" t="b">
        <v>0</v>
      </c>
      <c r="I33" s="82" t="b">
        <v>0</v>
      </c>
      <c r="J33" s="94"/>
      <c r="K33" s="95"/>
      <c r="L33" s="20"/>
    </row>
    <row r="34" spans="2:12" ht="16.2" x14ac:dyDescent="0.3">
      <c r="B34" s="20"/>
      <c r="C34" s="198" t="s">
        <v>278</v>
      </c>
      <c r="D34" s="198"/>
      <c r="E34" s="198"/>
      <c r="F34" s="198"/>
      <c r="G34" s="87" t="s">
        <v>58</v>
      </c>
      <c r="H34" s="140" t="s">
        <v>59</v>
      </c>
      <c r="I34" s="140" t="s">
        <v>60</v>
      </c>
      <c r="J34" s="140"/>
      <c r="K34" s="88"/>
      <c r="L34" s="20"/>
    </row>
    <row r="35" spans="2:12" x14ac:dyDescent="0.3">
      <c r="B35" s="20"/>
      <c r="C35" s="198"/>
      <c r="D35" s="198"/>
      <c r="E35" s="198"/>
      <c r="F35" s="198"/>
      <c r="G35" s="89" t="b">
        <v>0</v>
      </c>
      <c r="H35" s="82" t="b">
        <v>0</v>
      </c>
      <c r="I35" s="82" t="b">
        <v>0</v>
      </c>
      <c r="J35" s="94"/>
      <c r="K35" s="95"/>
      <c r="L35" s="20"/>
    </row>
    <row r="36" spans="2:12" ht="16.350000000000001" customHeight="1" x14ac:dyDescent="0.3">
      <c r="B36" s="20"/>
      <c r="C36" s="198" t="s">
        <v>279</v>
      </c>
      <c r="D36" s="198"/>
      <c r="E36" s="198"/>
      <c r="F36" s="198"/>
      <c r="G36" s="87" t="s">
        <v>58</v>
      </c>
      <c r="H36" s="140">
        <v>0</v>
      </c>
      <c r="I36" s="140">
        <v>1</v>
      </c>
      <c r="J36" s="140">
        <v>2</v>
      </c>
      <c r="K36" s="88">
        <v>3</v>
      </c>
      <c r="L36" s="20"/>
    </row>
    <row r="37" spans="2:12" ht="14.7" customHeight="1" x14ac:dyDescent="0.3">
      <c r="B37" s="20"/>
      <c r="C37" s="198"/>
      <c r="D37" s="198"/>
      <c r="E37" s="198"/>
      <c r="F37" s="198"/>
      <c r="G37" s="89" t="b">
        <v>0</v>
      </c>
      <c r="H37" s="82" t="b">
        <v>0</v>
      </c>
      <c r="I37" s="82" t="b">
        <v>0</v>
      </c>
      <c r="J37" s="82" t="b">
        <v>0</v>
      </c>
      <c r="K37" s="91" t="b">
        <v>0</v>
      </c>
      <c r="L37" s="20"/>
    </row>
    <row r="38" spans="2:12" ht="16.2" x14ac:dyDescent="0.3">
      <c r="B38" s="20"/>
      <c r="C38" s="198" t="s">
        <v>280</v>
      </c>
      <c r="D38" s="198"/>
      <c r="E38" s="198"/>
      <c r="F38" s="198"/>
      <c r="G38" s="87" t="s">
        <v>58</v>
      </c>
      <c r="H38" s="140">
        <v>0</v>
      </c>
      <c r="I38" s="140">
        <v>1</v>
      </c>
      <c r="J38" s="140">
        <v>2</v>
      </c>
      <c r="K38" s="88">
        <v>3</v>
      </c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82" t="b">
        <v>0</v>
      </c>
      <c r="K39" s="91" t="b">
        <v>0</v>
      </c>
      <c r="L39" s="20"/>
    </row>
    <row r="40" spans="2:12" x14ac:dyDescent="0.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 x14ac:dyDescent="0.3">
      <c r="B41" s="29"/>
      <c r="C41" s="29"/>
      <c r="D41" s="29"/>
      <c r="E41" s="29"/>
      <c r="F41" s="31"/>
      <c r="G41" s="31"/>
      <c r="H41" s="31"/>
      <c r="I41" s="30"/>
      <c r="J41" s="30"/>
      <c r="K41" s="30"/>
      <c r="L41" s="30"/>
    </row>
    <row r="42" spans="2:12" x14ac:dyDescent="0.3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2:12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2:12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2:12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</sheetData>
  <sheetProtection sheet="1" objects="1" scenarios="1"/>
  <mergeCells count="16">
    <mergeCell ref="C38:F39"/>
    <mergeCell ref="C16:F17"/>
    <mergeCell ref="C19:F20"/>
    <mergeCell ref="C21:F22"/>
    <mergeCell ref="C23:F24"/>
    <mergeCell ref="C25:F26"/>
    <mergeCell ref="C28:F29"/>
    <mergeCell ref="C30:F31"/>
    <mergeCell ref="C32:F33"/>
    <mergeCell ref="C34:F35"/>
    <mergeCell ref="F3:K5"/>
    <mergeCell ref="C10:F11"/>
    <mergeCell ref="C12:F13"/>
    <mergeCell ref="C14:F15"/>
    <mergeCell ref="C36:F37"/>
    <mergeCell ref="C8:I8"/>
  </mergeCells>
  <conditionalFormatting sqref="C12">
    <cfRule type="expression" dxfId="315" priority="17">
      <formula>AND($G$13:$K$13=FALSE)</formula>
    </cfRule>
  </conditionalFormatting>
  <conditionalFormatting sqref="C14">
    <cfRule type="expression" dxfId="314" priority="14">
      <formula>AND($G$15:$K$15=FALSE)</formula>
    </cfRule>
  </conditionalFormatting>
  <conditionalFormatting sqref="C16">
    <cfRule type="expression" dxfId="313" priority="13">
      <formula>AND($G$17:$I$17=FALSE)</formula>
    </cfRule>
  </conditionalFormatting>
  <conditionalFormatting sqref="C19">
    <cfRule type="expression" dxfId="312" priority="10">
      <formula>AND($G$20:$K$20=FALSE)</formula>
    </cfRule>
  </conditionalFormatting>
  <conditionalFormatting sqref="C21">
    <cfRule type="expression" dxfId="311" priority="9">
      <formula>AND($G$22:$K$22=FALSE)</formula>
    </cfRule>
  </conditionalFormatting>
  <conditionalFormatting sqref="C23">
    <cfRule type="expression" dxfId="310" priority="5">
      <formula>AND($G$24:$K$24=FALSE)</formula>
    </cfRule>
  </conditionalFormatting>
  <conditionalFormatting sqref="C25">
    <cfRule type="expression" dxfId="309" priority="8">
      <formula>AND($G$26:$K$26=FALSE)</formula>
    </cfRule>
  </conditionalFormatting>
  <conditionalFormatting sqref="C30">
    <cfRule type="expression" dxfId="308" priority="11">
      <formula>AND($G$31:$K$31=FALSE)</formula>
    </cfRule>
  </conditionalFormatting>
  <conditionalFormatting sqref="C34">
    <cfRule type="expression" dxfId="307" priority="4">
      <formula>AND($G$35:$K$35=FALSE)</formula>
    </cfRule>
  </conditionalFormatting>
  <conditionalFormatting sqref="C36">
    <cfRule type="expression" dxfId="306" priority="6">
      <formula>AND($G$37:$K$37=FALSE)</formula>
    </cfRule>
  </conditionalFormatting>
  <conditionalFormatting sqref="C38">
    <cfRule type="expression" dxfId="305" priority="2">
      <formula>AND($G$39:$K$39=FALSE)</formula>
    </cfRule>
  </conditionalFormatting>
  <conditionalFormatting sqref="C10:F11">
    <cfRule type="expression" dxfId="304" priority="16">
      <formula>AND($G$11:$I$11=FALSE)</formula>
    </cfRule>
  </conditionalFormatting>
  <conditionalFormatting sqref="C28:F29">
    <cfRule type="expression" dxfId="303" priority="7">
      <formula>AND($G$29:$K$29=FALSE)</formula>
    </cfRule>
  </conditionalFormatting>
  <conditionalFormatting sqref="C32:F33">
    <cfRule type="expression" dxfId="302" priority="1">
      <formula>AND($G$33:$K$33=FALSE)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8600-9390-40A0-A72A-E862A0FA00AC}">
  <sheetPr codeName="Feuil21"/>
  <dimension ref="B2:M64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281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282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283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284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30.6" customHeight="1" x14ac:dyDescent="0.3">
      <c r="B14" s="20"/>
      <c r="C14" s="198" t="s">
        <v>285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286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24" customHeight="1" x14ac:dyDescent="0.4">
      <c r="B18" s="20"/>
      <c r="C18" s="22" t="s">
        <v>287</v>
      </c>
      <c r="D18" s="22"/>
      <c r="E18" s="22"/>
      <c r="F18" s="20"/>
      <c r="G18" s="20"/>
      <c r="H18" s="20"/>
      <c r="I18" s="20"/>
      <c r="J18" s="21"/>
      <c r="K18" s="21"/>
      <c r="L18" s="20"/>
    </row>
    <row r="19" spans="2:12" ht="16.2" x14ac:dyDescent="0.3">
      <c r="B19" s="20"/>
      <c r="C19" s="198" t="s">
        <v>288</v>
      </c>
      <c r="D19" s="198"/>
      <c r="E19" s="198"/>
      <c r="F19" s="198"/>
      <c r="G19" s="87" t="s">
        <v>58</v>
      </c>
      <c r="H19" s="140" t="s">
        <v>59</v>
      </c>
      <c r="I19" s="140" t="s">
        <v>60</v>
      </c>
      <c r="J19" s="140"/>
      <c r="K19" s="88"/>
      <c r="L19" s="20"/>
    </row>
    <row r="20" spans="2:12" x14ac:dyDescent="0.3">
      <c r="B20" s="20"/>
      <c r="C20" s="198"/>
      <c r="D20" s="198"/>
      <c r="E20" s="198"/>
      <c r="F20" s="198"/>
      <c r="G20" s="89" t="b">
        <v>0</v>
      </c>
      <c r="H20" s="82" t="b">
        <v>0</v>
      </c>
      <c r="I20" s="82" t="b">
        <v>0</v>
      </c>
      <c r="J20" s="94"/>
      <c r="K20" s="95"/>
      <c r="L20" s="20"/>
    </row>
    <row r="21" spans="2:12" ht="16.2" x14ac:dyDescent="0.3">
      <c r="B21" s="20"/>
      <c r="C21" s="198" t="s">
        <v>289</v>
      </c>
      <c r="D21" s="198"/>
      <c r="E21" s="198"/>
      <c r="F21" s="198"/>
      <c r="G21" s="87" t="s">
        <v>58</v>
      </c>
      <c r="H21" s="140">
        <v>0</v>
      </c>
      <c r="I21" s="140">
        <v>1</v>
      </c>
      <c r="J21" s="140">
        <v>2</v>
      </c>
      <c r="K21" s="88">
        <v>3</v>
      </c>
      <c r="L21" s="20"/>
    </row>
    <row r="22" spans="2:12" ht="14.7" customHeight="1" x14ac:dyDescent="0.3">
      <c r="B22" s="20"/>
      <c r="C22" s="198"/>
      <c r="D22" s="198"/>
      <c r="E22" s="198"/>
      <c r="F22" s="198"/>
      <c r="G22" s="89" t="b">
        <v>0</v>
      </c>
      <c r="H22" s="82" t="b">
        <v>0</v>
      </c>
      <c r="I22" s="82" t="b">
        <v>0</v>
      </c>
      <c r="J22" s="82" t="b">
        <v>0</v>
      </c>
      <c r="K22" s="91" t="b">
        <v>0</v>
      </c>
      <c r="L22" s="20"/>
    </row>
    <row r="23" spans="2:12" ht="16.2" x14ac:dyDescent="0.3">
      <c r="B23" s="20"/>
      <c r="C23" s="197" t="s">
        <v>290</v>
      </c>
      <c r="D23" s="197"/>
      <c r="E23" s="197"/>
      <c r="F23" s="197"/>
      <c r="G23" s="87" t="s">
        <v>58</v>
      </c>
      <c r="H23" s="140">
        <v>0</v>
      </c>
      <c r="I23" s="140">
        <v>1</v>
      </c>
      <c r="J23" s="140">
        <v>2</v>
      </c>
      <c r="K23" s="88">
        <v>3</v>
      </c>
      <c r="L23" s="20"/>
    </row>
    <row r="24" spans="2:12" ht="14.7" customHeight="1" x14ac:dyDescent="0.3">
      <c r="B24" s="20"/>
      <c r="C24" s="197"/>
      <c r="D24" s="197"/>
      <c r="E24" s="197"/>
      <c r="F24" s="197"/>
      <c r="G24" s="89" t="b">
        <v>0</v>
      </c>
      <c r="H24" s="82" t="b">
        <v>0</v>
      </c>
      <c r="I24" s="82" t="b">
        <v>0</v>
      </c>
      <c r="J24" s="82" t="b">
        <v>0</v>
      </c>
      <c r="K24" s="91" t="b">
        <v>0</v>
      </c>
      <c r="L24" s="20"/>
    </row>
    <row r="25" spans="2:12" ht="24" customHeight="1" x14ac:dyDescent="0.4">
      <c r="B25" s="20"/>
      <c r="C25" s="22" t="s">
        <v>291</v>
      </c>
      <c r="D25" s="22"/>
      <c r="E25" s="22"/>
      <c r="F25" s="20"/>
      <c r="G25" s="20"/>
      <c r="H25" s="20"/>
      <c r="I25" s="20"/>
      <c r="J25" s="21"/>
      <c r="K25" s="21"/>
      <c r="L25" s="20"/>
    </row>
    <row r="26" spans="2:12" ht="16.2" x14ac:dyDescent="0.3">
      <c r="B26" s="20"/>
      <c r="C26" s="198" t="s">
        <v>292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293</v>
      </c>
      <c r="D28" s="198"/>
      <c r="E28" s="198"/>
      <c r="F28" s="198"/>
      <c r="G28" s="87" t="s">
        <v>58</v>
      </c>
      <c r="H28" s="140">
        <v>0</v>
      </c>
      <c r="I28" s="140">
        <v>1</v>
      </c>
      <c r="J28" s="140">
        <v>2</v>
      </c>
      <c r="K28" s="88">
        <v>3</v>
      </c>
      <c r="L28" s="20"/>
    </row>
    <row r="29" spans="2:12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82" t="b">
        <v>0</v>
      </c>
      <c r="K29" s="91" t="b">
        <v>0</v>
      </c>
      <c r="L29" s="20"/>
    </row>
    <row r="30" spans="2:12" ht="16.350000000000001" customHeight="1" x14ac:dyDescent="0.3">
      <c r="B30" s="20"/>
      <c r="C30" s="198" t="s">
        <v>294</v>
      </c>
      <c r="D30" s="198"/>
      <c r="E30" s="198"/>
      <c r="F30" s="198"/>
      <c r="G30" s="87" t="s">
        <v>58</v>
      </c>
      <c r="H30" s="140">
        <v>0</v>
      </c>
      <c r="I30" s="140">
        <v>1</v>
      </c>
      <c r="J30" s="140">
        <v>2</v>
      </c>
      <c r="K30" s="88">
        <v>3</v>
      </c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82" t="b">
        <v>0</v>
      </c>
      <c r="K31" s="91" t="b">
        <v>0</v>
      </c>
      <c r="L31" s="20"/>
    </row>
    <row r="32" spans="2:12" ht="24" customHeight="1" x14ac:dyDescent="0.4">
      <c r="B32" s="20"/>
      <c r="C32" s="22" t="s">
        <v>295</v>
      </c>
      <c r="D32" s="22"/>
      <c r="E32" s="22"/>
      <c r="F32" s="20"/>
      <c r="G32" s="20"/>
      <c r="H32" s="20"/>
      <c r="I32" s="20"/>
      <c r="J32" s="21"/>
      <c r="K32" s="21"/>
      <c r="L32" s="20"/>
    </row>
    <row r="33" spans="2:12" ht="16.2" x14ac:dyDescent="0.3">
      <c r="B33" s="20"/>
      <c r="C33" s="198" t="s">
        <v>296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20"/>
    </row>
    <row r="35" spans="2:12" ht="32.1" customHeight="1" x14ac:dyDescent="0.3">
      <c r="B35" s="20"/>
      <c r="C35" s="198" t="s">
        <v>297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94"/>
      <c r="K36" s="95"/>
      <c r="L36" s="20"/>
    </row>
    <row r="37" spans="2:12" ht="16.2" x14ac:dyDescent="0.3">
      <c r="B37" s="20"/>
      <c r="C37" s="198" t="s">
        <v>298</v>
      </c>
      <c r="D37" s="198"/>
      <c r="E37" s="198"/>
      <c r="F37" s="198"/>
      <c r="G37" s="87" t="s">
        <v>58</v>
      </c>
      <c r="H37" s="140">
        <v>0</v>
      </c>
      <c r="I37" s="140">
        <v>1</v>
      </c>
      <c r="J37" s="140">
        <v>2</v>
      </c>
      <c r="K37" s="88">
        <v>3</v>
      </c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82" t="b">
        <v>0</v>
      </c>
      <c r="K38" s="91" t="b">
        <v>0</v>
      </c>
      <c r="L38" s="20"/>
    </row>
    <row r="39" spans="2:12" ht="16.2" x14ac:dyDescent="0.3">
      <c r="B39" s="20"/>
      <c r="C39" s="198" t="s">
        <v>299</v>
      </c>
      <c r="D39" s="198"/>
      <c r="E39" s="198"/>
      <c r="F39" s="198"/>
      <c r="G39" s="87" t="s">
        <v>58</v>
      </c>
      <c r="H39" s="140">
        <v>0</v>
      </c>
      <c r="I39" s="140">
        <v>1</v>
      </c>
      <c r="J39" s="140">
        <v>2</v>
      </c>
      <c r="K39" s="88">
        <v>3</v>
      </c>
      <c r="L39" s="20"/>
    </row>
    <row r="40" spans="2:12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82" t="b">
        <v>0</v>
      </c>
      <c r="K40" s="91" t="b">
        <v>0</v>
      </c>
      <c r="L40" s="20"/>
    </row>
    <row r="41" spans="2:12" ht="16.2" x14ac:dyDescent="0.3">
      <c r="B41" s="20"/>
      <c r="C41" s="198" t="s">
        <v>300</v>
      </c>
      <c r="D41" s="198"/>
      <c r="E41" s="198"/>
      <c r="F41" s="198"/>
      <c r="G41" s="87" t="s">
        <v>58</v>
      </c>
      <c r="H41" s="140" t="s">
        <v>59</v>
      </c>
      <c r="I41" s="140" t="s">
        <v>60</v>
      </c>
      <c r="J41" s="140"/>
      <c r="K41" s="88"/>
      <c r="L41" s="20"/>
    </row>
    <row r="42" spans="2:12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94"/>
      <c r="K42" s="95"/>
      <c r="L42" s="20"/>
    </row>
    <row r="43" spans="2:12" ht="24" customHeight="1" x14ac:dyDescent="0.4">
      <c r="B43" s="20"/>
      <c r="C43" s="22" t="s">
        <v>301</v>
      </c>
      <c r="D43" s="22"/>
      <c r="E43" s="22"/>
      <c r="F43" s="20"/>
      <c r="G43" s="20"/>
      <c r="H43" s="20"/>
      <c r="I43" s="20"/>
      <c r="J43" s="21"/>
      <c r="K43" s="21"/>
      <c r="L43" s="20"/>
    </row>
    <row r="44" spans="2:12" ht="16.2" x14ac:dyDescent="0.3">
      <c r="B44" s="20"/>
      <c r="C44" s="198" t="s">
        <v>302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88"/>
      <c r="L44" s="20"/>
    </row>
    <row r="45" spans="2:12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5"/>
      <c r="L45" s="20"/>
    </row>
    <row r="46" spans="2:12" ht="16.2" x14ac:dyDescent="0.3">
      <c r="B46" s="20"/>
      <c r="C46" s="198" t="s">
        <v>303</v>
      </c>
      <c r="D46" s="198"/>
      <c r="E46" s="198"/>
      <c r="F46" s="198"/>
      <c r="G46" s="87" t="s">
        <v>58</v>
      </c>
      <c r="H46" s="140">
        <v>0</v>
      </c>
      <c r="I46" s="140">
        <v>1</v>
      </c>
      <c r="J46" s="140">
        <v>2</v>
      </c>
      <c r="K46" s="88">
        <v>3</v>
      </c>
      <c r="L46" s="20"/>
    </row>
    <row r="47" spans="2:12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82" t="b">
        <v>0</v>
      </c>
      <c r="K47" s="91" t="b">
        <v>0</v>
      </c>
      <c r="L47" s="20"/>
    </row>
    <row r="48" spans="2:12" ht="16.2" x14ac:dyDescent="0.3">
      <c r="B48" s="20"/>
      <c r="C48" s="197" t="s">
        <v>304</v>
      </c>
      <c r="D48" s="197"/>
      <c r="E48" s="197"/>
      <c r="F48" s="197"/>
      <c r="G48" s="87" t="s">
        <v>58</v>
      </c>
      <c r="H48" s="140">
        <v>0</v>
      </c>
      <c r="I48" s="140">
        <v>1</v>
      </c>
      <c r="J48" s="140">
        <v>2</v>
      </c>
      <c r="K48" s="88">
        <v>3</v>
      </c>
      <c r="L48" s="20"/>
    </row>
    <row r="49" spans="2:12" ht="14.7" customHeight="1" x14ac:dyDescent="0.3">
      <c r="B49" s="20"/>
      <c r="C49" s="197"/>
      <c r="D49" s="197"/>
      <c r="E49" s="197"/>
      <c r="F49" s="197"/>
      <c r="G49" s="89" t="b">
        <v>0</v>
      </c>
      <c r="H49" s="82" t="b">
        <v>0</v>
      </c>
      <c r="I49" s="82" t="b">
        <v>0</v>
      </c>
      <c r="J49" s="82" t="b">
        <v>0</v>
      </c>
      <c r="K49" s="91" t="b">
        <v>0</v>
      </c>
      <c r="L49" s="20"/>
    </row>
    <row r="50" spans="2:12" ht="24" customHeight="1" x14ac:dyDescent="0.4">
      <c r="B50" s="20"/>
      <c r="C50" s="22" t="s">
        <v>305</v>
      </c>
      <c r="D50" s="22"/>
      <c r="E50" s="22"/>
      <c r="F50" s="20"/>
      <c r="G50" s="20"/>
      <c r="H50" s="20"/>
      <c r="I50" s="20"/>
      <c r="J50" s="21"/>
      <c r="K50" s="21"/>
      <c r="L50" s="20"/>
    </row>
    <row r="51" spans="2:12" ht="16.2" x14ac:dyDescent="0.3">
      <c r="B51" s="20"/>
      <c r="C51" s="198" t="s">
        <v>306</v>
      </c>
      <c r="D51" s="198"/>
      <c r="E51" s="198"/>
      <c r="F51" s="198"/>
      <c r="G51" s="87" t="s">
        <v>58</v>
      </c>
      <c r="H51" s="140" t="s">
        <v>59</v>
      </c>
      <c r="I51" s="140" t="s">
        <v>60</v>
      </c>
      <c r="J51" s="140"/>
      <c r="K51" s="88"/>
      <c r="L51" s="20"/>
    </row>
    <row r="52" spans="2:12" ht="14.7" customHeight="1" x14ac:dyDescent="0.3">
      <c r="B52" s="20"/>
      <c r="C52" s="198"/>
      <c r="D52" s="198"/>
      <c r="E52" s="198"/>
      <c r="F52" s="198"/>
      <c r="G52" s="89" t="b">
        <v>0</v>
      </c>
      <c r="H52" s="82" t="b">
        <v>0</v>
      </c>
      <c r="I52" s="82" t="b">
        <v>0</v>
      </c>
      <c r="J52" s="83"/>
      <c r="K52" s="90"/>
      <c r="L52" s="20"/>
    </row>
    <row r="53" spans="2:12" ht="16.2" x14ac:dyDescent="0.3">
      <c r="B53" s="20"/>
      <c r="C53" s="198" t="s">
        <v>307</v>
      </c>
      <c r="D53" s="198"/>
      <c r="E53" s="198"/>
      <c r="F53" s="198"/>
      <c r="G53" s="87" t="s">
        <v>58</v>
      </c>
      <c r="H53" s="140">
        <v>0</v>
      </c>
      <c r="I53" s="140">
        <v>1</v>
      </c>
      <c r="J53" s="140">
        <v>2</v>
      </c>
      <c r="K53" s="88">
        <v>3</v>
      </c>
      <c r="L53" s="20"/>
    </row>
    <row r="54" spans="2:12" ht="14.7" customHeight="1" x14ac:dyDescent="0.3">
      <c r="B54" s="20"/>
      <c r="C54" s="198"/>
      <c r="D54" s="198"/>
      <c r="E54" s="198"/>
      <c r="F54" s="198"/>
      <c r="G54" s="89" t="b">
        <v>0</v>
      </c>
      <c r="H54" s="82" t="b">
        <v>0</v>
      </c>
      <c r="I54" s="82" t="b">
        <v>0</v>
      </c>
      <c r="J54" s="82" t="b">
        <v>0</v>
      </c>
      <c r="K54" s="91" t="b">
        <v>0</v>
      </c>
      <c r="L54" s="20"/>
    </row>
    <row r="55" spans="2:12" ht="30.6" customHeight="1" x14ac:dyDescent="0.3">
      <c r="B55" s="20"/>
      <c r="C55" s="198" t="s">
        <v>308</v>
      </c>
      <c r="D55" s="198"/>
      <c r="E55" s="198"/>
      <c r="F55" s="198"/>
      <c r="G55" s="87" t="s">
        <v>58</v>
      </c>
      <c r="H55" s="140">
        <v>0</v>
      </c>
      <c r="I55" s="140">
        <v>1</v>
      </c>
      <c r="J55" s="140">
        <v>2</v>
      </c>
      <c r="K55" s="88">
        <v>3</v>
      </c>
      <c r="L55" s="20"/>
    </row>
    <row r="56" spans="2:12" ht="14.7" customHeight="1" x14ac:dyDescent="0.3">
      <c r="B56" s="20"/>
      <c r="C56" s="198"/>
      <c r="D56" s="198"/>
      <c r="E56" s="198"/>
      <c r="F56" s="198"/>
      <c r="G56" s="89" t="b">
        <v>0</v>
      </c>
      <c r="H56" s="82" t="b">
        <v>0</v>
      </c>
      <c r="I56" s="82" t="b">
        <v>0</v>
      </c>
      <c r="J56" s="82" t="b">
        <v>0</v>
      </c>
      <c r="K56" s="91" t="b">
        <v>0</v>
      </c>
      <c r="L56" s="20"/>
    </row>
    <row r="57" spans="2:12" ht="16.2" x14ac:dyDescent="0.3">
      <c r="B57" s="20"/>
      <c r="C57" s="198" t="s">
        <v>309</v>
      </c>
      <c r="D57" s="198"/>
      <c r="E57" s="198"/>
      <c r="F57" s="198"/>
      <c r="G57" s="87" t="s">
        <v>58</v>
      </c>
      <c r="H57" s="140" t="s">
        <v>59</v>
      </c>
      <c r="I57" s="140" t="s">
        <v>60</v>
      </c>
      <c r="J57" s="140"/>
      <c r="K57" s="88"/>
      <c r="L57" s="20"/>
    </row>
    <row r="58" spans="2:12" ht="14.7" customHeight="1" x14ac:dyDescent="0.3">
      <c r="B58" s="20"/>
      <c r="C58" s="198"/>
      <c r="D58" s="198"/>
      <c r="E58" s="198"/>
      <c r="F58" s="198"/>
      <c r="G58" s="89" t="b">
        <v>0</v>
      </c>
      <c r="H58" s="82" t="b">
        <v>0</v>
      </c>
      <c r="I58" s="82" t="b">
        <v>0</v>
      </c>
      <c r="J58" s="83"/>
      <c r="K58" s="90"/>
      <c r="L58" s="20"/>
    </row>
    <row r="59" spans="2:12" x14ac:dyDescent="0.3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2" x14ac:dyDescent="0.3">
      <c r="B60" s="29"/>
      <c r="C60" s="29"/>
      <c r="D60" s="29"/>
      <c r="E60" s="29"/>
      <c r="F60" s="31"/>
      <c r="G60" s="31"/>
      <c r="H60" s="31"/>
      <c r="I60" s="30"/>
      <c r="J60" s="30"/>
      <c r="K60" s="30"/>
      <c r="L60" s="30"/>
    </row>
    <row r="61" spans="2:12" x14ac:dyDescent="0.3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2" x14ac:dyDescent="0.3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2" x14ac:dyDescent="0.3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2:12" x14ac:dyDescent="0.3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</sheetData>
  <sheetProtection sheet="1" objects="1" scenarios="1"/>
  <mergeCells count="24">
    <mergeCell ref="C48:F49"/>
    <mergeCell ref="C51:F52"/>
    <mergeCell ref="C53:F54"/>
    <mergeCell ref="C55:F56"/>
    <mergeCell ref="C57:F58"/>
    <mergeCell ref="C44:F45"/>
    <mergeCell ref="C46:F47"/>
    <mergeCell ref="C30:F31"/>
    <mergeCell ref="C33:F34"/>
    <mergeCell ref="C35:F36"/>
    <mergeCell ref="C37:F38"/>
    <mergeCell ref="C39:F40"/>
    <mergeCell ref="C41:F42"/>
    <mergeCell ref="C19:F20"/>
    <mergeCell ref="C21:F22"/>
    <mergeCell ref="C23:F24"/>
    <mergeCell ref="C26:F27"/>
    <mergeCell ref="C28:F29"/>
    <mergeCell ref="C16:F17"/>
    <mergeCell ref="F3:K5"/>
    <mergeCell ref="C8:I8"/>
    <mergeCell ref="C10:F11"/>
    <mergeCell ref="C12:F13"/>
    <mergeCell ref="C14:F15"/>
  </mergeCells>
  <conditionalFormatting sqref="C12">
    <cfRule type="expression" dxfId="301" priority="23">
      <formula>AND($G$13:$K$13=FALSE)</formula>
    </cfRule>
  </conditionalFormatting>
  <conditionalFormatting sqref="C14">
    <cfRule type="expression" dxfId="300" priority="21">
      <formula>AND($G$15:$K$15=FALSE)</formula>
    </cfRule>
  </conditionalFormatting>
  <conditionalFormatting sqref="C16">
    <cfRule type="expression" dxfId="299" priority="20">
      <formula>AND($G$17:$I$17=FALSE)</formula>
    </cfRule>
  </conditionalFormatting>
  <conditionalFormatting sqref="C19">
    <cfRule type="expression" dxfId="298" priority="18">
      <formula>AND($G$20:$K$20=FALSE)</formula>
    </cfRule>
  </conditionalFormatting>
  <conditionalFormatting sqref="C21">
    <cfRule type="expression" dxfId="297" priority="17">
      <formula>AND($G$22:$K$22=FALSE)</formula>
    </cfRule>
  </conditionalFormatting>
  <conditionalFormatting sqref="C23">
    <cfRule type="expression" dxfId="296" priority="13">
      <formula>AND($G$24:$K$24=FALSE)</formula>
    </cfRule>
  </conditionalFormatting>
  <conditionalFormatting sqref="C28">
    <cfRule type="expression" dxfId="295" priority="19">
      <formula>AND($G$29:$K$29=FALSE)</formula>
    </cfRule>
  </conditionalFormatting>
  <conditionalFormatting sqref="C33">
    <cfRule type="expression" dxfId="294" priority="12">
      <formula>AND($G$34:$K$34=FALSE)</formula>
    </cfRule>
  </conditionalFormatting>
  <conditionalFormatting sqref="C35">
    <cfRule type="expression" dxfId="293" priority="14">
      <formula>AND($G$36:$K$36=FALSE)</formula>
    </cfRule>
  </conditionalFormatting>
  <conditionalFormatting sqref="C37">
    <cfRule type="expression" dxfId="292" priority="11">
      <formula>AND($G$38:$K$38=FALSE)</formula>
    </cfRule>
  </conditionalFormatting>
  <conditionalFormatting sqref="C39">
    <cfRule type="expression" dxfId="291" priority="9">
      <formula>AND($G$40:$K$40=FALSE)</formula>
    </cfRule>
  </conditionalFormatting>
  <conditionalFormatting sqref="C41">
    <cfRule type="expression" dxfId="290" priority="8">
      <formula>AND($G$42:$K$42=FALSE)</formula>
    </cfRule>
  </conditionalFormatting>
  <conditionalFormatting sqref="C44">
    <cfRule type="expression" dxfId="289" priority="3">
      <formula>AND($G$45:$K$45=FALSE)</formula>
    </cfRule>
  </conditionalFormatting>
  <conditionalFormatting sqref="C46">
    <cfRule type="expression" dxfId="288" priority="2">
      <formula>AND($G$47:$K$47=FALSE)</formula>
    </cfRule>
  </conditionalFormatting>
  <conditionalFormatting sqref="C48">
    <cfRule type="expression" dxfId="287" priority="1">
      <formula>AND($G$49:$K$49=FALSE)</formula>
    </cfRule>
  </conditionalFormatting>
  <conditionalFormatting sqref="C53">
    <cfRule type="expression" dxfId="286" priority="7">
      <formula>AND($G$54:$K$54=FALSE)</formula>
    </cfRule>
  </conditionalFormatting>
  <conditionalFormatting sqref="C55">
    <cfRule type="expression" dxfId="285" priority="5">
      <formula>AND($G$56:$K$56=FALSE)</formula>
    </cfRule>
  </conditionalFormatting>
  <conditionalFormatting sqref="C57">
    <cfRule type="expression" dxfId="284" priority="4">
      <formula>AND($G$58:$K$58=FALSE)</formula>
    </cfRule>
  </conditionalFormatting>
  <conditionalFormatting sqref="C10:F11">
    <cfRule type="expression" dxfId="283" priority="22">
      <formula>AND($G$11:$I$11=FALSE)</formula>
    </cfRule>
  </conditionalFormatting>
  <conditionalFormatting sqref="C26:F27">
    <cfRule type="expression" dxfId="282" priority="15">
      <formula>AND($G$27:$K$27=FALSE)</formula>
    </cfRule>
  </conditionalFormatting>
  <conditionalFormatting sqref="C30:F31">
    <cfRule type="expression" dxfId="281" priority="10">
      <formula>AND($G$31:$K$31=FALSE)</formula>
    </cfRule>
  </conditionalFormatting>
  <conditionalFormatting sqref="C51:F52">
    <cfRule type="expression" dxfId="280" priority="6">
      <formula>AND($G$52:$K$52=FALSE)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3804-F60F-4137-8F4B-F924A0F14768}">
  <sheetPr codeName="Feuil22"/>
  <dimension ref="B2:M50"/>
  <sheetViews>
    <sheetView showGridLines="0" tabSelected="1" showWhiteSpace="0" view="pageBreakPreview" topLeftCell="A28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310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311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1.35" customHeight="1" x14ac:dyDescent="0.3">
      <c r="B10" s="20"/>
      <c r="C10" s="198" t="s">
        <v>312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313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314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315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316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2" x14ac:dyDescent="0.3">
      <c r="B20" s="20"/>
      <c r="C20" s="198" t="s">
        <v>317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2" x14ac:dyDescent="0.3">
      <c r="B22" s="20"/>
      <c r="C22" s="197" t="s">
        <v>318</v>
      </c>
      <c r="D22" s="197"/>
      <c r="E22" s="197"/>
      <c r="F22" s="197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7"/>
      <c r="D23" s="197"/>
      <c r="E23" s="197"/>
      <c r="F23" s="197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16.2" x14ac:dyDescent="0.3">
      <c r="B24" s="20"/>
      <c r="C24" s="198" t="s">
        <v>319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16.350000000000001" customHeight="1" x14ac:dyDescent="0.3">
      <c r="B26" s="20"/>
      <c r="C26" s="198" t="s">
        <v>320</v>
      </c>
      <c r="D26" s="198"/>
      <c r="E26" s="198"/>
      <c r="F26" s="198"/>
      <c r="G26" s="87" t="s">
        <v>58</v>
      </c>
      <c r="H26" s="140">
        <v>0</v>
      </c>
      <c r="I26" s="140">
        <v>1</v>
      </c>
      <c r="J26" s="140">
        <v>2</v>
      </c>
      <c r="K26" s="88">
        <v>3</v>
      </c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82" t="b">
        <v>0</v>
      </c>
      <c r="K27" s="91" t="b">
        <v>0</v>
      </c>
      <c r="L27" s="20"/>
    </row>
    <row r="28" spans="2:12" ht="16.2" x14ac:dyDescent="0.3">
      <c r="B28" s="20"/>
      <c r="C28" s="198" t="s">
        <v>321</v>
      </c>
      <c r="D28" s="198"/>
      <c r="E28" s="198"/>
      <c r="F28" s="198"/>
      <c r="G28" s="87" t="s">
        <v>58</v>
      </c>
      <c r="H28" s="140">
        <v>0</v>
      </c>
      <c r="I28" s="140">
        <v>1</v>
      </c>
      <c r="J28" s="140">
        <v>2</v>
      </c>
      <c r="K28" s="88">
        <v>3</v>
      </c>
      <c r="L28" s="20"/>
    </row>
    <row r="29" spans="2:12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82" t="b">
        <v>0</v>
      </c>
      <c r="K29" s="91" t="b">
        <v>0</v>
      </c>
      <c r="L29" s="20"/>
    </row>
    <row r="30" spans="2:12" ht="24" customHeight="1" x14ac:dyDescent="0.4">
      <c r="B30" s="20"/>
      <c r="C30" s="22" t="s">
        <v>322</v>
      </c>
      <c r="D30" s="22"/>
      <c r="E30" s="22"/>
      <c r="F30" s="20"/>
      <c r="G30" s="20"/>
      <c r="H30" s="20"/>
      <c r="I30" s="20"/>
      <c r="J30" s="21"/>
      <c r="K30" s="21"/>
      <c r="L30" s="20"/>
    </row>
    <row r="31" spans="2:12" ht="16.2" x14ac:dyDescent="0.3">
      <c r="B31" s="20"/>
      <c r="C31" s="198" t="s">
        <v>323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16.2" x14ac:dyDescent="0.3">
      <c r="B33" s="20"/>
      <c r="C33" s="198" t="s">
        <v>324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20"/>
    </row>
    <row r="35" spans="2:12" ht="16.2" x14ac:dyDescent="0.3">
      <c r="B35" s="20"/>
      <c r="C35" s="198" t="s">
        <v>325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20"/>
    </row>
    <row r="37" spans="2:12" ht="16.2" x14ac:dyDescent="0.3">
      <c r="B37" s="20"/>
      <c r="C37" s="198" t="s">
        <v>326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0"/>
    </row>
    <row r="38" spans="2:12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20"/>
    </row>
    <row r="39" spans="2:12" ht="16.2" x14ac:dyDescent="0.3">
      <c r="B39" s="20"/>
      <c r="C39" s="198" t="s">
        <v>327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0"/>
    </row>
    <row r="40" spans="2:12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94"/>
      <c r="K40" s="95"/>
      <c r="L40" s="20"/>
    </row>
    <row r="41" spans="2:12" ht="16.2" x14ac:dyDescent="0.3">
      <c r="B41" s="20"/>
      <c r="C41" s="198" t="s">
        <v>328</v>
      </c>
      <c r="D41" s="198"/>
      <c r="E41" s="198"/>
      <c r="F41" s="198"/>
      <c r="G41" s="87" t="s">
        <v>58</v>
      </c>
      <c r="H41" s="140">
        <v>0</v>
      </c>
      <c r="I41" s="140">
        <v>1</v>
      </c>
      <c r="J41" s="140">
        <v>2</v>
      </c>
      <c r="K41" s="88">
        <v>3</v>
      </c>
      <c r="L41" s="20"/>
    </row>
    <row r="42" spans="2:12" ht="14.7" customHeight="1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82" t="b">
        <v>0</v>
      </c>
      <c r="K42" s="91" t="b">
        <v>0</v>
      </c>
      <c r="L42" s="20"/>
    </row>
    <row r="43" spans="2:12" ht="16.2" x14ac:dyDescent="0.3">
      <c r="B43" s="20"/>
      <c r="C43" s="197" t="s">
        <v>329</v>
      </c>
      <c r="D43" s="197"/>
      <c r="E43" s="197"/>
      <c r="F43" s="197"/>
      <c r="G43" s="87" t="s">
        <v>58</v>
      </c>
      <c r="H43" s="140">
        <v>0</v>
      </c>
      <c r="I43" s="140">
        <v>1</v>
      </c>
      <c r="J43" s="140">
        <v>2</v>
      </c>
      <c r="K43" s="88">
        <v>3</v>
      </c>
      <c r="L43" s="20"/>
    </row>
    <row r="44" spans="2:12" ht="14.7" customHeight="1" x14ac:dyDescent="0.3">
      <c r="B44" s="20"/>
      <c r="C44" s="197"/>
      <c r="D44" s="197"/>
      <c r="E44" s="197"/>
      <c r="F44" s="197"/>
      <c r="G44" s="89" t="b">
        <v>0</v>
      </c>
      <c r="H44" s="82" t="b">
        <v>0</v>
      </c>
      <c r="I44" s="82" t="b">
        <v>0</v>
      </c>
      <c r="J44" s="82" t="b">
        <v>0</v>
      </c>
      <c r="K44" s="91" t="b">
        <v>0</v>
      </c>
      <c r="L44" s="20"/>
    </row>
    <row r="45" spans="2:12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2:12" x14ac:dyDescent="0.3">
      <c r="B46" s="29"/>
      <c r="C46" s="29"/>
      <c r="D46" s="29"/>
      <c r="E46" s="29"/>
      <c r="F46" s="31"/>
      <c r="G46" s="31"/>
      <c r="H46" s="31"/>
      <c r="I46" s="30"/>
      <c r="J46" s="30"/>
      <c r="K46" s="30"/>
      <c r="L46" s="30"/>
    </row>
    <row r="47" spans="2:12" x14ac:dyDescent="0.3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 x14ac:dyDescent="0.3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 x14ac:dyDescent="0.3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2" x14ac:dyDescent="0.3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</sheetData>
  <sheetProtection sheet="1" objects="1" scenarios="1"/>
  <mergeCells count="19">
    <mergeCell ref="C41:F42"/>
    <mergeCell ref="C43:F44"/>
    <mergeCell ref="C28:F29"/>
    <mergeCell ref="C31:F32"/>
    <mergeCell ref="C33:F34"/>
    <mergeCell ref="C35:F36"/>
    <mergeCell ref="C37:F38"/>
    <mergeCell ref="C39:F40"/>
    <mergeCell ref="C18:F19"/>
    <mergeCell ref="C20:F21"/>
    <mergeCell ref="C22:F23"/>
    <mergeCell ref="C24:F25"/>
    <mergeCell ref="C26:F27"/>
    <mergeCell ref="C16:F17"/>
    <mergeCell ref="F3:K5"/>
    <mergeCell ref="C8:I8"/>
    <mergeCell ref="C10:F11"/>
    <mergeCell ref="C12:F13"/>
    <mergeCell ref="C14:F15"/>
  </mergeCells>
  <conditionalFormatting sqref="C12">
    <cfRule type="expression" dxfId="279" priority="22">
      <formula>AND($G$13:$K$13=FALSE)</formula>
    </cfRule>
  </conditionalFormatting>
  <conditionalFormatting sqref="C14">
    <cfRule type="expression" dxfId="278" priority="20">
      <formula>AND($G$15:$K$15=FALSE)</formula>
    </cfRule>
  </conditionalFormatting>
  <conditionalFormatting sqref="C16">
    <cfRule type="expression" dxfId="277" priority="19">
      <formula>AND($G$17:$I$17=FALSE)</formula>
    </cfRule>
  </conditionalFormatting>
  <conditionalFormatting sqref="C18">
    <cfRule type="expression" dxfId="276" priority="17">
      <formula>AND($G$19:$K$19=FALSE)</formula>
    </cfRule>
  </conditionalFormatting>
  <conditionalFormatting sqref="C20">
    <cfRule type="expression" dxfId="275" priority="16">
      <formula>AND($G$21:$K$21=FALSE)</formula>
    </cfRule>
  </conditionalFormatting>
  <conditionalFormatting sqref="C22">
    <cfRule type="expression" dxfId="274" priority="13">
      <formula>AND($G$23:$K$23=FALSE)</formula>
    </cfRule>
  </conditionalFormatting>
  <conditionalFormatting sqref="C24">
    <cfRule type="expression" dxfId="273" priority="18">
      <formula>AND($G$25:$K$25=FALSE)</formula>
    </cfRule>
  </conditionalFormatting>
  <conditionalFormatting sqref="C28">
    <cfRule type="expression" dxfId="272" priority="12">
      <formula>AND($G$29:$K$29=FALSE)</formula>
    </cfRule>
  </conditionalFormatting>
  <conditionalFormatting sqref="C31">
    <cfRule type="expression" dxfId="271" priority="14">
      <formula>AND($G$32:$K$32=FALSE)</formula>
    </cfRule>
  </conditionalFormatting>
  <conditionalFormatting sqref="C33">
    <cfRule type="expression" dxfId="270" priority="11">
      <formula>AND($G$34:$K$34=FALSE)</formula>
    </cfRule>
  </conditionalFormatting>
  <conditionalFormatting sqref="C35">
    <cfRule type="expression" dxfId="269" priority="9">
      <formula>AND($G$36:$K$36=FALSE)</formula>
    </cfRule>
  </conditionalFormatting>
  <conditionalFormatting sqref="C37">
    <cfRule type="expression" dxfId="268" priority="8">
      <formula>AND($G$38:$K$38=FALSE)</formula>
    </cfRule>
  </conditionalFormatting>
  <conditionalFormatting sqref="C39">
    <cfRule type="expression" dxfId="267" priority="3">
      <formula>AND($G$40:$K$40=FALSE)</formula>
    </cfRule>
  </conditionalFormatting>
  <conditionalFormatting sqref="C41">
    <cfRule type="expression" dxfId="266" priority="2">
      <formula>AND($G$42:$K$42=FALSE)</formula>
    </cfRule>
  </conditionalFormatting>
  <conditionalFormatting sqref="C43">
    <cfRule type="expression" dxfId="265" priority="1">
      <formula>AND($G$44:$K$44=FALSE)</formula>
    </cfRule>
  </conditionalFormatting>
  <conditionalFormatting sqref="C10:F11">
    <cfRule type="expression" dxfId="264" priority="21">
      <formula>AND($G$11:$I$11=FALSE)</formula>
    </cfRule>
  </conditionalFormatting>
  <conditionalFormatting sqref="C26:F27">
    <cfRule type="expression" dxfId="263" priority="10">
      <formula>AND($G$27:$K$27=FALSE)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146D6-85F5-41AC-98CB-0273F95D389A}">
  <dimension ref="B2:M43"/>
  <sheetViews>
    <sheetView tabSelected="1" view="pageLayout" topLeftCell="A17" zoomScale="94" zoomScaleNormal="108" zoomScaleSheetLayoutView="75" zoomScalePageLayoutView="94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10937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1"/>
      <c r="G6" s="21"/>
      <c r="H6" s="21"/>
      <c r="I6" s="20"/>
      <c r="J6" s="20"/>
      <c r="K6" s="21"/>
      <c r="L6" s="20"/>
      <c r="M6" s="24"/>
    </row>
    <row r="7" spans="2:13" ht="14.7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x14ac:dyDescent="0.3">
      <c r="B8" s="20"/>
      <c r="C8" s="20"/>
      <c r="D8" s="20"/>
      <c r="E8" s="28"/>
      <c r="F8" s="28"/>
      <c r="G8" s="28"/>
      <c r="H8" s="20"/>
      <c r="I8" s="20"/>
      <c r="J8" s="20"/>
      <c r="K8" s="20"/>
      <c r="L8" s="20"/>
    </row>
    <row r="9" spans="2:13" ht="23.1" customHeight="1" x14ac:dyDescent="0.3">
      <c r="B9" s="20"/>
      <c r="C9" s="164" t="s">
        <v>0</v>
      </c>
      <c r="D9" s="164"/>
      <c r="E9" s="164"/>
      <c r="F9" s="164"/>
      <c r="G9" s="164"/>
      <c r="H9" s="164"/>
      <c r="I9" s="164"/>
      <c r="J9" s="164"/>
      <c r="K9" s="164"/>
      <c r="L9" s="20"/>
    </row>
    <row r="10" spans="2:13" ht="16.2" x14ac:dyDescent="0.3">
      <c r="B10" s="20"/>
      <c r="C10" s="160" t="s">
        <v>1</v>
      </c>
      <c r="D10" s="160"/>
      <c r="E10" s="187"/>
      <c r="F10" s="187"/>
      <c r="G10" s="187"/>
      <c r="H10" s="187"/>
      <c r="I10" s="187"/>
      <c r="J10" s="187"/>
      <c r="K10" s="187"/>
      <c r="L10" s="20"/>
    </row>
    <row r="11" spans="2:13" ht="18" x14ac:dyDescent="0.3">
      <c r="B11" s="20"/>
      <c r="C11" s="160" t="s">
        <v>2</v>
      </c>
      <c r="D11" s="160"/>
      <c r="E11" s="161"/>
      <c r="F11" s="161"/>
      <c r="G11" s="173" t="s">
        <v>3</v>
      </c>
      <c r="H11" s="160"/>
      <c r="I11" s="161"/>
      <c r="J11" s="161"/>
      <c r="K11" s="129"/>
      <c r="L11" s="20"/>
    </row>
    <row r="12" spans="2:13" ht="18" x14ac:dyDescent="0.3">
      <c r="B12" s="20"/>
      <c r="C12" s="160" t="s">
        <v>4</v>
      </c>
      <c r="D12" s="160"/>
      <c r="E12" s="161"/>
      <c r="F12" s="161"/>
      <c r="G12" s="173" t="s">
        <v>5</v>
      </c>
      <c r="H12" s="160"/>
      <c r="I12" s="161"/>
      <c r="J12" s="161"/>
      <c r="K12" s="129"/>
      <c r="L12" s="20"/>
    </row>
    <row r="13" spans="2:13" ht="18" x14ac:dyDescent="0.3">
      <c r="B13" s="20"/>
      <c r="C13" s="162" t="s">
        <v>6</v>
      </c>
      <c r="D13" s="162"/>
      <c r="E13" s="186"/>
      <c r="F13" s="186"/>
      <c r="G13" s="179"/>
      <c r="H13" s="162"/>
      <c r="I13" s="136"/>
      <c r="J13" s="128"/>
      <c r="K13" s="128"/>
      <c r="L13" s="20"/>
    </row>
    <row r="14" spans="2:13" ht="18" x14ac:dyDescent="0.3">
      <c r="B14" s="20"/>
      <c r="C14" s="139"/>
      <c r="D14" s="139"/>
      <c r="E14" s="139"/>
      <c r="F14" s="139"/>
      <c r="G14" s="139"/>
      <c r="H14" s="139"/>
      <c r="I14" s="181"/>
      <c r="J14" s="181"/>
      <c r="K14" s="181"/>
      <c r="L14" s="20"/>
    </row>
    <row r="15" spans="2:13" ht="24" customHeight="1" x14ac:dyDescent="0.3">
      <c r="B15" s="20"/>
      <c r="C15" s="159" t="s">
        <v>7</v>
      </c>
      <c r="D15" s="159"/>
      <c r="E15" s="159"/>
      <c r="F15" s="159"/>
      <c r="G15" s="159"/>
      <c r="H15" s="159"/>
      <c r="I15" s="159"/>
      <c r="J15" s="159"/>
      <c r="K15" s="159"/>
      <c r="L15" s="20"/>
    </row>
    <row r="16" spans="2:13" ht="33.6" customHeight="1" x14ac:dyDescent="0.3">
      <c r="B16" s="20"/>
      <c r="C16" s="182" t="s">
        <v>8</v>
      </c>
      <c r="D16" s="183"/>
      <c r="E16" s="184"/>
      <c r="F16" s="184"/>
      <c r="G16" s="184"/>
      <c r="H16" s="184"/>
      <c r="I16" s="184"/>
      <c r="J16" s="184"/>
      <c r="K16" s="185"/>
      <c r="L16" s="20"/>
    </row>
    <row r="17" spans="2:12" ht="16.2" x14ac:dyDescent="0.3">
      <c r="B17" s="20"/>
      <c r="C17" s="169" t="s">
        <v>9</v>
      </c>
      <c r="D17" s="170"/>
      <c r="E17" s="171"/>
      <c r="F17" s="172"/>
      <c r="G17" s="170" t="s">
        <v>10</v>
      </c>
      <c r="H17" s="173"/>
      <c r="I17" s="174"/>
      <c r="J17" s="171"/>
      <c r="K17" s="172"/>
      <c r="L17" s="20"/>
    </row>
    <row r="18" spans="2:12" ht="16.2" x14ac:dyDescent="0.3">
      <c r="B18" s="20"/>
      <c r="C18" s="169" t="s">
        <v>11</v>
      </c>
      <c r="D18" s="170"/>
      <c r="E18" s="171"/>
      <c r="F18" s="172"/>
      <c r="G18" s="170" t="s">
        <v>12</v>
      </c>
      <c r="H18" s="173"/>
      <c r="I18" s="174"/>
      <c r="J18" s="171"/>
      <c r="K18" s="172"/>
      <c r="L18" s="20"/>
    </row>
    <row r="19" spans="2:12" ht="16.2" x14ac:dyDescent="0.3">
      <c r="B19" s="20"/>
      <c r="C19" s="175" t="s">
        <v>13</v>
      </c>
      <c r="D19" s="176"/>
      <c r="E19" s="177"/>
      <c r="F19" s="178"/>
      <c r="G19" s="176" t="s">
        <v>14</v>
      </c>
      <c r="H19" s="179"/>
      <c r="I19" s="180"/>
      <c r="J19" s="177"/>
      <c r="K19" s="178"/>
      <c r="L19" s="20"/>
    </row>
    <row r="20" spans="2:12" ht="16.8" x14ac:dyDescent="0.4">
      <c r="B20" s="20"/>
      <c r="C20" s="127"/>
      <c r="D20" s="125"/>
      <c r="E20" s="126"/>
      <c r="F20" s="132"/>
      <c r="G20" s="132"/>
      <c r="H20" s="132"/>
      <c r="I20" s="132"/>
      <c r="J20" s="132"/>
      <c r="K20" s="132"/>
      <c r="L20" s="20"/>
    </row>
    <row r="21" spans="2:12" ht="21.6" customHeight="1" x14ac:dyDescent="0.3">
      <c r="B21" s="20"/>
      <c r="C21" s="159" t="s">
        <v>15</v>
      </c>
      <c r="D21" s="159"/>
      <c r="E21" s="159"/>
      <c r="F21" s="159"/>
      <c r="G21" s="159"/>
      <c r="H21" s="159"/>
      <c r="I21" s="159"/>
      <c r="J21" s="159"/>
      <c r="K21" s="159"/>
      <c r="L21" s="20"/>
    </row>
    <row r="22" spans="2:12" ht="16.2" x14ac:dyDescent="0.3">
      <c r="B22" s="20"/>
      <c r="C22" s="152" t="b">
        <v>0</v>
      </c>
      <c r="D22" s="167" t="s">
        <v>16</v>
      </c>
      <c r="E22" s="167"/>
      <c r="F22" s="151" t="s">
        <v>17</v>
      </c>
      <c r="G22" s="155" t="b">
        <v>0</v>
      </c>
      <c r="H22" s="168" t="s">
        <v>18</v>
      </c>
      <c r="I22" s="168"/>
      <c r="J22" s="151" t="s">
        <v>17</v>
      </c>
      <c r="K22" s="130"/>
      <c r="L22" s="20"/>
    </row>
    <row r="23" spans="2:12" ht="16.2" x14ac:dyDescent="0.3">
      <c r="B23" s="20"/>
      <c r="C23" s="153" t="b">
        <v>0</v>
      </c>
      <c r="D23" s="165" t="s">
        <v>19</v>
      </c>
      <c r="E23" s="165"/>
      <c r="F23" s="137"/>
      <c r="G23" s="156" t="b">
        <v>0</v>
      </c>
      <c r="H23" s="165" t="s">
        <v>20</v>
      </c>
      <c r="I23" s="165"/>
      <c r="J23" s="137"/>
      <c r="K23" s="137"/>
      <c r="L23" s="20"/>
    </row>
    <row r="24" spans="2:12" ht="16.2" x14ac:dyDescent="0.3">
      <c r="B24" s="20"/>
      <c r="C24" s="153" t="b">
        <v>0</v>
      </c>
      <c r="D24" s="165" t="s">
        <v>21</v>
      </c>
      <c r="E24" s="165"/>
      <c r="F24" s="137"/>
      <c r="G24" s="156" t="b">
        <v>0</v>
      </c>
      <c r="H24" s="165" t="s">
        <v>22</v>
      </c>
      <c r="I24" s="165"/>
      <c r="J24" s="137"/>
      <c r="K24" s="137"/>
      <c r="L24" s="20"/>
    </row>
    <row r="25" spans="2:12" ht="16.2" x14ac:dyDescent="0.3">
      <c r="B25" s="20"/>
      <c r="C25" s="153" t="b">
        <v>0</v>
      </c>
      <c r="D25" s="165" t="s">
        <v>23</v>
      </c>
      <c r="E25" s="165"/>
      <c r="F25" s="137"/>
      <c r="G25" s="156" t="b">
        <v>0</v>
      </c>
      <c r="H25" s="165" t="s">
        <v>24</v>
      </c>
      <c r="I25" s="165"/>
      <c r="J25" s="137"/>
      <c r="K25" s="137"/>
      <c r="L25" s="20"/>
    </row>
    <row r="26" spans="2:12" ht="16.2" x14ac:dyDescent="0.3">
      <c r="B26" s="20"/>
      <c r="C26" s="153" t="b">
        <v>0</v>
      </c>
      <c r="D26" s="165" t="s">
        <v>25</v>
      </c>
      <c r="E26" s="165"/>
      <c r="F26" s="137"/>
      <c r="G26" s="156" t="b">
        <v>0</v>
      </c>
      <c r="H26" s="165" t="s">
        <v>26</v>
      </c>
      <c r="I26" s="165"/>
      <c r="J26" s="137"/>
      <c r="K26" s="137"/>
      <c r="L26" s="20"/>
    </row>
    <row r="27" spans="2:12" ht="16.2" x14ac:dyDescent="0.3">
      <c r="B27" s="20"/>
      <c r="C27" s="154" t="b">
        <v>0</v>
      </c>
      <c r="D27" s="166" t="s">
        <v>27</v>
      </c>
      <c r="E27" s="166"/>
      <c r="F27" s="136"/>
      <c r="G27" s="138"/>
      <c r="H27" s="166"/>
      <c r="I27" s="166"/>
      <c r="J27" s="136"/>
      <c r="K27" s="136"/>
      <c r="L27" s="20"/>
    </row>
    <row r="28" spans="2:12" ht="16.2" x14ac:dyDescent="0.3">
      <c r="B28" s="20"/>
      <c r="C28" s="131"/>
      <c r="D28" s="126"/>
      <c r="E28" s="126"/>
      <c r="F28" s="126"/>
      <c r="G28" s="126"/>
      <c r="H28" s="126"/>
      <c r="I28" s="126"/>
      <c r="J28" s="126"/>
      <c r="K28" s="126"/>
      <c r="L28" s="20"/>
    </row>
    <row r="29" spans="2:12" ht="21.6" customHeight="1" x14ac:dyDescent="0.3">
      <c r="B29" s="20"/>
      <c r="C29" s="159" t="s">
        <v>28</v>
      </c>
      <c r="D29" s="159"/>
      <c r="E29" s="159"/>
      <c r="F29" s="159"/>
      <c r="G29" s="159"/>
      <c r="H29" s="159"/>
      <c r="I29" s="159"/>
      <c r="J29" s="159"/>
      <c r="K29" s="159"/>
      <c r="L29" s="20"/>
    </row>
    <row r="30" spans="2:12" ht="16.2" x14ac:dyDescent="0.3">
      <c r="B30" s="20"/>
      <c r="C30" s="154" t="b">
        <v>0</v>
      </c>
      <c r="D30" s="161" t="s">
        <v>29</v>
      </c>
      <c r="E30" s="161"/>
      <c r="F30" s="150"/>
      <c r="G30" s="154" t="b">
        <v>0</v>
      </c>
      <c r="H30" s="161" t="s">
        <v>30</v>
      </c>
      <c r="I30" s="161"/>
      <c r="J30" s="137"/>
      <c r="K30" s="137"/>
      <c r="L30" s="20"/>
    </row>
    <row r="31" spans="2:12" ht="16.2" x14ac:dyDescent="0.3">
      <c r="B31" s="20"/>
      <c r="C31" s="154" t="b">
        <v>0</v>
      </c>
      <c r="D31" s="163" t="s">
        <v>31</v>
      </c>
      <c r="E31" s="163"/>
      <c r="F31" s="157"/>
      <c r="G31" s="154" t="b">
        <v>0</v>
      </c>
      <c r="H31" s="163" t="s">
        <v>32</v>
      </c>
      <c r="I31" s="163"/>
      <c r="J31" s="136"/>
      <c r="K31" s="136"/>
      <c r="L31" s="20"/>
    </row>
    <row r="32" spans="2:12" ht="16.2" x14ac:dyDescent="0.3">
      <c r="B32" s="20"/>
      <c r="C32" s="126"/>
      <c r="D32" s="126"/>
      <c r="E32" s="126"/>
      <c r="F32" s="126"/>
      <c r="G32" s="126"/>
      <c r="H32" s="126"/>
      <c r="I32" s="126"/>
      <c r="J32" s="126"/>
      <c r="K32" s="126"/>
      <c r="L32" s="20"/>
    </row>
    <row r="33" spans="2:12" ht="23.1" customHeight="1" x14ac:dyDescent="0.3">
      <c r="B33" s="20"/>
      <c r="C33" s="164" t="s">
        <v>33</v>
      </c>
      <c r="D33" s="164"/>
      <c r="E33" s="164"/>
      <c r="F33" s="164"/>
      <c r="G33" s="164"/>
      <c r="H33" s="164"/>
      <c r="I33" s="164"/>
      <c r="J33" s="164"/>
      <c r="K33" s="164"/>
      <c r="L33" s="20"/>
    </row>
    <row r="34" spans="2:12" ht="16.2" x14ac:dyDescent="0.3">
      <c r="B34" s="20"/>
      <c r="C34" s="160" t="s">
        <v>34</v>
      </c>
      <c r="D34" s="160"/>
      <c r="E34" s="161"/>
      <c r="F34" s="161"/>
      <c r="G34" s="161"/>
      <c r="H34" s="161"/>
      <c r="I34" s="161"/>
      <c r="J34" s="161"/>
      <c r="K34" s="161"/>
      <c r="L34" s="20"/>
    </row>
    <row r="35" spans="2:12" ht="16.2" x14ac:dyDescent="0.3">
      <c r="B35" s="20"/>
      <c r="C35" s="160" t="s">
        <v>35</v>
      </c>
      <c r="D35" s="160"/>
      <c r="E35" s="161"/>
      <c r="F35" s="161"/>
      <c r="G35" s="161"/>
      <c r="H35" s="161"/>
      <c r="I35" s="161"/>
      <c r="J35" s="161"/>
      <c r="K35" s="161"/>
      <c r="L35" s="20"/>
    </row>
    <row r="36" spans="2:12" ht="16.2" x14ac:dyDescent="0.3">
      <c r="B36" s="20"/>
      <c r="C36" s="160" t="s">
        <v>12</v>
      </c>
      <c r="D36" s="160"/>
      <c r="E36" s="161"/>
      <c r="F36" s="161"/>
      <c r="G36" s="161"/>
      <c r="H36" s="161"/>
      <c r="I36" s="161"/>
      <c r="J36" s="161"/>
      <c r="K36" s="161"/>
      <c r="L36" s="20"/>
    </row>
    <row r="37" spans="2:12" ht="16.2" x14ac:dyDescent="0.3">
      <c r="B37" s="20"/>
      <c r="C37" s="162" t="s">
        <v>36</v>
      </c>
      <c r="D37" s="162"/>
      <c r="E37" s="163"/>
      <c r="F37" s="163"/>
      <c r="G37" s="163"/>
      <c r="H37" s="163"/>
      <c r="I37" s="163"/>
      <c r="J37" s="163"/>
      <c r="K37" s="163"/>
      <c r="L37" s="20"/>
    </row>
    <row r="38" spans="2:12" x14ac:dyDescent="0.3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2:12" x14ac:dyDescent="0.3">
      <c r="B39" s="29"/>
      <c r="C39" s="29"/>
      <c r="D39" s="29"/>
      <c r="E39" s="29"/>
      <c r="F39" s="31"/>
      <c r="G39" s="31"/>
      <c r="H39" s="31"/>
      <c r="I39" s="30"/>
      <c r="J39" s="30"/>
      <c r="K39" s="30"/>
      <c r="L39" s="30"/>
    </row>
    <row r="40" spans="2:12" x14ac:dyDescent="0.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2:12" x14ac:dyDescent="0.3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2:12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</sheetData>
  <mergeCells count="58">
    <mergeCell ref="F3:K5"/>
    <mergeCell ref="C9:K9"/>
    <mergeCell ref="C10:D10"/>
    <mergeCell ref="E10:K10"/>
    <mergeCell ref="C11:D11"/>
    <mergeCell ref="E11:F11"/>
    <mergeCell ref="G11:H11"/>
    <mergeCell ref="I11:J11"/>
    <mergeCell ref="I14:K14"/>
    <mergeCell ref="C15:K15"/>
    <mergeCell ref="C16:D16"/>
    <mergeCell ref="E16:K16"/>
    <mergeCell ref="C12:D12"/>
    <mergeCell ref="E12:F12"/>
    <mergeCell ref="G12:H12"/>
    <mergeCell ref="I12:J12"/>
    <mergeCell ref="C13:D13"/>
    <mergeCell ref="E13:F13"/>
    <mergeCell ref="G13:H13"/>
    <mergeCell ref="C19:D19"/>
    <mergeCell ref="E19:F19"/>
    <mergeCell ref="G19:H19"/>
    <mergeCell ref="I19:K19"/>
    <mergeCell ref="C21:K21"/>
    <mergeCell ref="C17:D17"/>
    <mergeCell ref="E17:F17"/>
    <mergeCell ref="G17:H17"/>
    <mergeCell ref="I17:K17"/>
    <mergeCell ref="C18:D18"/>
    <mergeCell ref="E18:F18"/>
    <mergeCell ref="G18:H18"/>
    <mergeCell ref="I18:K18"/>
    <mergeCell ref="D26:E26"/>
    <mergeCell ref="H26:I26"/>
    <mergeCell ref="D27:E27"/>
    <mergeCell ref="D22:E22"/>
    <mergeCell ref="H22:I22"/>
    <mergeCell ref="D23:E23"/>
    <mergeCell ref="H23:I23"/>
    <mergeCell ref="D24:E24"/>
    <mergeCell ref="H24:I24"/>
    <mergeCell ref="D25:E25"/>
    <mergeCell ref="H25:I25"/>
    <mergeCell ref="H27:I27"/>
    <mergeCell ref="C29:K29"/>
    <mergeCell ref="C36:D36"/>
    <mergeCell ref="E36:K36"/>
    <mergeCell ref="C37:D37"/>
    <mergeCell ref="E37:K37"/>
    <mergeCell ref="C35:D35"/>
    <mergeCell ref="E35:K35"/>
    <mergeCell ref="C34:D34"/>
    <mergeCell ref="E34:K34"/>
    <mergeCell ref="D30:E30"/>
    <mergeCell ref="H30:I30"/>
    <mergeCell ref="D31:E31"/>
    <mergeCell ref="H31:I31"/>
    <mergeCell ref="C33:K33"/>
  </mergeCell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E1E7-CE1D-4722-86B5-260A052C9439}">
  <sheetPr codeName="Feuil23"/>
  <dimension ref="B2:M57"/>
  <sheetViews>
    <sheetView showGridLines="0" tabSelected="1" showWhiteSpace="0" view="pageBreakPreview" topLeftCell="A12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330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24" customHeight="1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331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332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333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334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335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24" customHeight="1" x14ac:dyDescent="0.4">
      <c r="B20" s="20"/>
      <c r="C20" s="22" t="s">
        <v>336</v>
      </c>
      <c r="D20" s="22"/>
      <c r="E20" s="22"/>
      <c r="F20" s="20"/>
      <c r="G20" s="20"/>
      <c r="H20" s="20"/>
      <c r="I20" s="20"/>
      <c r="J20" s="21"/>
      <c r="K20" s="21"/>
      <c r="L20" s="20"/>
    </row>
    <row r="21" spans="2:12" ht="16.2" x14ac:dyDescent="0.3">
      <c r="B21" s="20"/>
      <c r="C21" s="198" t="s">
        <v>337</v>
      </c>
      <c r="D21" s="198"/>
      <c r="E21" s="198"/>
      <c r="F21" s="198"/>
      <c r="G21" s="87" t="s">
        <v>58</v>
      </c>
      <c r="H21" s="140" t="s">
        <v>59</v>
      </c>
      <c r="I21" s="140" t="s">
        <v>60</v>
      </c>
      <c r="J21" s="140"/>
      <c r="K21" s="88"/>
      <c r="L21" s="20"/>
    </row>
    <row r="22" spans="2:12" ht="14.7" customHeight="1" x14ac:dyDescent="0.3">
      <c r="B22" s="20"/>
      <c r="C22" s="198"/>
      <c r="D22" s="198"/>
      <c r="E22" s="198"/>
      <c r="F22" s="198"/>
      <c r="G22" s="89" t="b">
        <v>0</v>
      </c>
      <c r="H22" s="82" t="b">
        <v>0</v>
      </c>
      <c r="I22" s="82" t="b">
        <v>0</v>
      </c>
      <c r="J22" s="94"/>
      <c r="K22" s="95"/>
      <c r="L22" s="20"/>
    </row>
    <row r="23" spans="2:12" ht="16.2" x14ac:dyDescent="0.3">
      <c r="B23" s="20"/>
      <c r="C23" s="198" t="s">
        <v>338</v>
      </c>
      <c r="D23" s="198"/>
      <c r="E23" s="198"/>
      <c r="F23" s="198"/>
      <c r="G23" s="87" t="s">
        <v>58</v>
      </c>
      <c r="H23" s="140" t="s">
        <v>59</v>
      </c>
      <c r="I23" s="140" t="s">
        <v>60</v>
      </c>
      <c r="J23" s="140"/>
      <c r="K23" s="88"/>
      <c r="L23" s="20"/>
    </row>
    <row r="24" spans="2:12" ht="14.7" customHeight="1" x14ac:dyDescent="0.3">
      <c r="B24" s="20"/>
      <c r="C24" s="198"/>
      <c r="D24" s="198"/>
      <c r="E24" s="198"/>
      <c r="F24" s="198"/>
      <c r="G24" s="89" t="b">
        <v>0</v>
      </c>
      <c r="H24" s="82" t="b">
        <v>0</v>
      </c>
      <c r="I24" s="82" t="b">
        <v>0</v>
      </c>
      <c r="J24" s="94"/>
      <c r="K24" s="95"/>
      <c r="L24" s="20"/>
    </row>
    <row r="25" spans="2:12" ht="16.2" x14ac:dyDescent="0.3">
      <c r="B25" s="20"/>
      <c r="C25" s="198" t="s">
        <v>339</v>
      </c>
      <c r="D25" s="198"/>
      <c r="E25" s="198"/>
      <c r="F25" s="198"/>
      <c r="G25" s="87" t="s">
        <v>58</v>
      </c>
      <c r="H25" s="140" t="s">
        <v>59</v>
      </c>
      <c r="I25" s="140" t="s">
        <v>60</v>
      </c>
      <c r="J25" s="140"/>
      <c r="K25" s="88"/>
      <c r="L25" s="20"/>
    </row>
    <row r="26" spans="2:12" ht="14.7" customHeight="1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94"/>
      <c r="K26" s="95"/>
      <c r="L26" s="20"/>
    </row>
    <row r="27" spans="2:12" ht="16.2" x14ac:dyDescent="0.3">
      <c r="B27" s="20"/>
      <c r="C27" s="198" t="s">
        <v>340</v>
      </c>
      <c r="D27" s="198"/>
      <c r="E27" s="198"/>
      <c r="F27" s="198"/>
      <c r="G27" s="87" t="s">
        <v>58</v>
      </c>
      <c r="H27" s="140" t="s">
        <v>59</v>
      </c>
      <c r="I27" s="140" t="s">
        <v>60</v>
      </c>
      <c r="J27" s="140"/>
      <c r="K27" s="88"/>
      <c r="L27" s="20"/>
    </row>
    <row r="28" spans="2:12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94"/>
      <c r="K28" s="95"/>
      <c r="L28" s="20"/>
    </row>
    <row r="29" spans="2:12" ht="16.350000000000001" customHeight="1" x14ac:dyDescent="0.3">
      <c r="B29" s="20"/>
      <c r="C29" s="198" t="s">
        <v>341</v>
      </c>
      <c r="D29" s="198"/>
      <c r="E29" s="198"/>
      <c r="F29" s="198"/>
      <c r="G29" s="87" t="s">
        <v>58</v>
      </c>
      <c r="H29" s="140" t="s">
        <v>59</v>
      </c>
      <c r="I29" s="140" t="s">
        <v>60</v>
      </c>
      <c r="J29" s="140"/>
      <c r="K29" s="88"/>
      <c r="L29" s="20"/>
    </row>
    <row r="30" spans="2:12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94"/>
      <c r="K30" s="95"/>
      <c r="L30" s="20"/>
    </row>
    <row r="31" spans="2:12" ht="16.2" x14ac:dyDescent="0.3">
      <c r="B31" s="20"/>
      <c r="C31" s="198" t="s">
        <v>342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24" customHeight="1" x14ac:dyDescent="0.4">
      <c r="B33" s="20"/>
      <c r="C33" s="22" t="s">
        <v>343</v>
      </c>
      <c r="D33" s="22"/>
      <c r="E33" s="22"/>
      <c r="F33" s="20"/>
      <c r="G33" s="20"/>
      <c r="H33" s="20"/>
      <c r="I33" s="20"/>
      <c r="J33" s="21"/>
      <c r="K33" s="21"/>
      <c r="L33" s="20"/>
    </row>
    <row r="34" spans="2:12" ht="16.2" x14ac:dyDescent="0.3">
      <c r="B34" s="20"/>
      <c r="C34" s="198" t="s">
        <v>344</v>
      </c>
      <c r="D34" s="198"/>
      <c r="E34" s="198"/>
      <c r="F34" s="198"/>
      <c r="G34" s="87" t="s">
        <v>58</v>
      </c>
      <c r="H34" s="140" t="s">
        <v>59</v>
      </c>
      <c r="I34" s="140" t="s">
        <v>60</v>
      </c>
      <c r="J34" s="140"/>
      <c r="K34" s="88"/>
      <c r="L34" s="20"/>
    </row>
    <row r="35" spans="2:12" ht="14.7" customHeight="1" x14ac:dyDescent="0.3">
      <c r="B35" s="20"/>
      <c r="C35" s="198"/>
      <c r="D35" s="198"/>
      <c r="E35" s="198"/>
      <c r="F35" s="198"/>
      <c r="G35" s="89" t="b">
        <v>0</v>
      </c>
      <c r="H35" s="82" t="b">
        <v>0</v>
      </c>
      <c r="I35" s="82" t="b">
        <v>0</v>
      </c>
      <c r="J35" s="94"/>
      <c r="K35" s="95"/>
      <c r="L35" s="20"/>
    </row>
    <row r="36" spans="2:12" ht="16.2" x14ac:dyDescent="0.3">
      <c r="B36" s="20"/>
      <c r="C36" s="198" t="s">
        <v>345</v>
      </c>
      <c r="D36" s="198"/>
      <c r="E36" s="198"/>
      <c r="F36" s="198"/>
      <c r="G36" s="87" t="s">
        <v>58</v>
      </c>
      <c r="H36" s="140" t="s">
        <v>59</v>
      </c>
      <c r="I36" s="140" t="s">
        <v>60</v>
      </c>
      <c r="J36" s="140"/>
      <c r="K36" s="88"/>
      <c r="L36" s="20"/>
    </row>
    <row r="37" spans="2:12" ht="14.7" customHeight="1" x14ac:dyDescent="0.3">
      <c r="B37" s="20"/>
      <c r="C37" s="198"/>
      <c r="D37" s="198"/>
      <c r="E37" s="198"/>
      <c r="F37" s="198"/>
      <c r="G37" s="89" t="b">
        <v>0</v>
      </c>
      <c r="H37" s="82" t="b">
        <v>0</v>
      </c>
      <c r="I37" s="82" t="b">
        <v>0</v>
      </c>
      <c r="J37" s="94"/>
      <c r="K37" s="95"/>
      <c r="L37" s="20"/>
    </row>
    <row r="38" spans="2:12" ht="16.2" x14ac:dyDescent="0.3">
      <c r="B38" s="20"/>
      <c r="C38" s="198" t="s">
        <v>346</v>
      </c>
      <c r="D38" s="198"/>
      <c r="E38" s="198"/>
      <c r="F38" s="198"/>
      <c r="G38" s="87" t="s">
        <v>58</v>
      </c>
      <c r="H38" s="140" t="s">
        <v>59</v>
      </c>
      <c r="I38" s="140" t="s">
        <v>60</v>
      </c>
      <c r="J38" s="140"/>
      <c r="K38" s="88"/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94"/>
      <c r="K39" s="95"/>
      <c r="L39" s="20"/>
    </row>
    <row r="40" spans="2:12" ht="16.2" x14ac:dyDescent="0.3">
      <c r="B40" s="20"/>
      <c r="C40" s="198" t="s">
        <v>347</v>
      </c>
      <c r="D40" s="198"/>
      <c r="E40" s="198"/>
      <c r="F40" s="198"/>
      <c r="G40" s="87" t="s">
        <v>58</v>
      </c>
      <c r="H40" s="140">
        <v>0</v>
      </c>
      <c r="I40" s="140">
        <v>1</v>
      </c>
      <c r="J40" s="140">
        <v>2</v>
      </c>
      <c r="K40" s="88">
        <v>3</v>
      </c>
      <c r="L40" s="20"/>
    </row>
    <row r="41" spans="2:12" x14ac:dyDescent="0.3">
      <c r="B41" s="20"/>
      <c r="C41" s="198"/>
      <c r="D41" s="198"/>
      <c r="E41" s="198"/>
      <c r="F41" s="198"/>
      <c r="G41" s="89" t="b">
        <v>0</v>
      </c>
      <c r="H41" s="82" t="b">
        <v>0</v>
      </c>
      <c r="I41" s="82" t="b">
        <v>0</v>
      </c>
      <c r="J41" s="82" t="b">
        <v>0</v>
      </c>
      <c r="K41" s="91" t="b">
        <v>0</v>
      </c>
      <c r="L41" s="20"/>
    </row>
    <row r="42" spans="2:12" ht="16.2" x14ac:dyDescent="0.3">
      <c r="B42" s="20"/>
      <c r="C42" s="198" t="s">
        <v>348</v>
      </c>
      <c r="D42" s="198"/>
      <c r="E42" s="198"/>
      <c r="F42" s="198"/>
      <c r="G42" s="87" t="s">
        <v>58</v>
      </c>
      <c r="H42" s="140">
        <v>0</v>
      </c>
      <c r="I42" s="140">
        <v>1</v>
      </c>
      <c r="J42" s="140">
        <v>2</v>
      </c>
      <c r="K42" s="88">
        <v>3</v>
      </c>
      <c r="L42" s="20"/>
    </row>
    <row r="43" spans="2:12" x14ac:dyDescent="0.3">
      <c r="B43" s="20"/>
      <c r="C43" s="198"/>
      <c r="D43" s="198"/>
      <c r="E43" s="198"/>
      <c r="F43" s="198"/>
      <c r="G43" s="89" t="b">
        <v>0</v>
      </c>
      <c r="H43" s="82" t="b">
        <v>0</v>
      </c>
      <c r="I43" s="82" t="b">
        <v>0</v>
      </c>
      <c r="J43" s="82" t="b">
        <v>0</v>
      </c>
      <c r="K43" s="91" t="b">
        <v>0</v>
      </c>
      <c r="L43" s="20"/>
    </row>
    <row r="44" spans="2:12" ht="16.2" x14ac:dyDescent="0.3">
      <c r="B44" s="20"/>
      <c r="C44" s="198" t="s">
        <v>349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88"/>
      <c r="L44" s="20"/>
    </row>
    <row r="45" spans="2:12" ht="14.7" customHeight="1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5"/>
      <c r="L45" s="20"/>
    </row>
    <row r="46" spans="2:12" ht="16.2" x14ac:dyDescent="0.3">
      <c r="B46" s="20"/>
      <c r="C46" s="197" t="s">
        <v>350</v>
      </c>
      <c r="D46" s="197"/>
      <c r="E46" s="197"/>
      <c r="F46" s="197"/>
      <c r="G46" s="87" t="s">
        <v>58</v>
      </c>
      <c r="H46" s="140">
        <v>0</v>
      </c>
      <c r="I46" s="140">
        <v>1</v>
      </c>
      <c r="J46" s="140">
        <v>2</v>
      </c>
      <c r="K46" s="88">
        <v>3</v>
      </c>
      <c r="L46" s="20"/>
    </row>
    <row r="47" spans="2:12" ht="14.7" customHeight="1" x14ac:dyDescent="0.3">
      <c r="B47" s="20"/>
      <c r="C47" s="197"/>
      <c r="D47" s="197"/>
      <c r="E47" s="197"/>
      <c r="F47" s="197"/>
      <c r="G47" s="89" t="b">
        <v>0</v>
      </c>
      <c r="H47" s="82" t="b">
        <v>0</v>
      </c>
      <c r="I47" s="82" t="b">
        <v>0</v>
      </c>
      <c r="J47" s="82" t="b">
        <v>0</v>
      </c>
      <c r="K47" s="91" t="b">
        <v>0</v>
      </c>
      <c r="L47" s="20"/>
    </row>
    <row r="48" spans="2:12" ht="16.2" x14ac:dyDescent="0.3">
      <c r="B48" s="20"/>
      <c r="C48" s="197" t="s">
        <v>351</v>
      </c>
      <c r="D48" s="197"/>
      <c r="E48" s="197"/>
      <c r="F48" s="197"/>
      <c r="G48" s="87" t="s">
        <v>58</v>
      </c>
      <c r="H48" s="140">
        <v>0</v>
      </c>
      <c r="I48" s="140">
        <v>1</v>
      </c>
      <c r="J48" s="140">
        <v>2</v>
      </c>
      <c r="K48" s="88">
        <v>3</v>
      </c>
      <c r="L48" s="20"/>
    </row>
    <row r="49" spans="2:12" ht="14.7" customHeight="1" x14ac:dyDescent="0.3">
      <c r="B49" s="20"/>
      <c r="C49" s="197"/>
      <c r="D49" s="197"/>
      <c r="E49" s="197"/>
      <c r="F49" s="197"/>
      <c r="G49" s="89" t="b">
        <v>0</v>
      </c>
      <c r="H49" s="82" t="b">
        <v>0</v>
      </c>
      <c r="I49" s="82" t="b">
        <v>0</v>
      </c>
      <c r="J49" s="82" t="b">
        <v>0</v>
      </c>
      <c r="K49" s="91" t="b">
        <v>0</v>
      </c>
      <c r="L49" s="20"/>
    </row>
    <row r="50" spans="2:12" ht="16.2" x14ac:dyDescent="0.3">
      <c r="B50" s="20"/>
      <c r="C50" s="198" t="s">
        <v>352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88"/>
      <c r="L50" s="20"/>
    </row>
    <row r="51" spans="2:12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94"/>
      <c r="K51" s="95"/>
      <c r="L51" s="20"/>
    </row>
    <row r="52" spans="2:12" x14ac:dyDescent="0.3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2:12" x14ac:dyDescent="0.3">
      <c r="B53" s="29"/>
      <c r="C53" s="29"/>
      <c r="D53" s="29"/>
      <c r="E53" s="29"/>
      <c r="F53" s="31"/>
      <c r="G53" s="31"/>
      <c r="H53" s="31"/>
      <c r="I53" s="30"/>
      <c r="J53" s="30"/>
      <c r="K53" s="30"/>
      <c r="L53" s="30"/>
    </row>
    <row r="54" spans="2:12" x14ac:dyDescent="0.3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2:12" x14ac:dyDescent="0.3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2" x14ac:dyDescent="0.3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2:12" x14ac:dyDescent="0.3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</sheetData>
  <sheetProtection sheet="1" objects="1" scenarios="1"/>
  <mergeCells count="22">
    <mergeCell ref="C44:F45"/>
    <mergeCell ref="C46:F47"/>
    <mergeCell ref="C48:F49"/>
    <mergeCell ref="C50:F51"/>
    <mergeCell ref="C31:F32"/>
    <mergeCell ref="C34:F35"/>
    <mergeCell ref="C36:F37"/>
    <mergeCell ref="C38:F39"/>
    <mergeCell ref="C40:F41"/>
    <mergeCell ref="C42:F43"/>
    <mergeCell ref="C29:F30"/>
    <mergeCell ref="F3:K5"/>
    <mergeCell ref="C8:I8"/>
    <mergeCell ref="C10:F11"/>
    <mergeCell ref="C12:F13"/>
    <mergeCell ref="C14:F15"/>
    <mergeCell ref="C16:F17"/>
    <mergeCell ref="C18:F19"/>
    <mergeCell ref="C21:F22"/>
    <mergeCell ref="C23:F24"/>
    <mergeCell ref="C25:F26"/>
    <mergeCell ref="C27:F28"/>
  </mergeCells>
  <conditionalFormatting sqref="C12">
    <cfRule type="expression" dxfId="262" priority="20">
      <formula>AND($G$13:$K$13=FALSE)</formula>
    </cfRule>
  </conditionalFormatting>
  <conditionalFormatting sqref="C14">
    <cfRule type="expression" dxfId="261" priority="18">
      <formula>AND($G$15:$K$15=FALSE)</formula>
    </cfRule>
  </conditionalFormatting>
  <conditionalFormatting sqref="C16">
    <cfRule type="expression" dxfId="260" priority="17">
      <formula>AND($G$17:$I$17=FALSE)</formula>
    </cfRule>
  </conditionalFormatting>
  <conditionalFormatting sqref="C18">
    <cfRule type="expression" dxfId="259" priority="15">
      <formula>AND($G$19:$K$19=FALSE)</formula>
    </cfRule>
  </conditionalFormatting>
  <conditionalFormatting sqref="C21">
    <cfRule type="expression" dxfId="258" priority="14">
      <formula>AND($G$22:$K$22=FALSE)</formula>
    </cfRule>
  </conditionalFormatting>
  <conditionalFormatting sqref="C23">
    <cfRule type="expression" dxfId="257" priority="11">
      <formula>AND($G$24:$K$24=FALSE)</formula>
    </cfRule>
  </conditionalFormatting>
  <conditionalFormatting sqref="C27">
    <cfRule type="expression" dxfId="256" priority="16">
      <formula>AND($G$28:$K$28=FALSE)</formula>
    </cfRule>
  </conditionalFormatting>
  <conditionalFormatting sqref="C31">
    <cfRule type="expression" dxfId="255" priority="10">
      <formula>AND($G$32:$K$32=FALSE)</formula>
    </cfRule>
  </conditionalFormatting>
  <conditionalFormatting sqref="C34">
    <cfRule type="expression" dxfId="254" priority="12">
      <formula>AND($G$35:$K$35=FALSE)</formula>
    </cfRule>
  </conditionalFormatting>
  <conditionalFormatting sqref="C36">
    <cfRule type="expression" dxfId="253" priority="9">
      <formula>AND($G$37:$K$37=FALSE)</formula>
    </cfRule>
  </conditionalFormatting>
  <conditionalFormatting sqref="C38">
    <cfRule type="expression" dxfId="252" priority="7">
      <formula>AND($G$39:$K$39=FALSE)</formula>
    </cfRule>
  </conditionalFormatting>
  <conditionalFormatting sqref="C40">
    <cfRule type="expression" dxfId="251" priority="6">
      <formula>AND($G$41:$K$41=FALSE)</formula>
    </cfRule>
  </conditionalFormatting>
  <conditionalFormatting sqref="C42">
    <cfRule type="expression" dxfId="250" priority="5">
      <formula>AND($G$43:$K$43=FALSE)</formula>
    </cfRule>
  </conditionalFormatting>
  <conditionalFormatting sqref="C44">
    <cfRule type="expression" dxfId="249" priority="4">
      <formula>AND($G$45:$K$45=FALSE)</formula>
    </cfRule>
  </conditionalFormatting>
  <conditionalFormatting sqref="C46">
    <cfRule type="expression" dxfId="248" priority="3">
      <formula>AND($G$47:$K$47=FALSE)</formula>
    </cfRule>
  </conditionalFormatting>
  <conditionalFormatting sqref="C48">
    <cfRule type="expression" dxfId="247" priority="2">
      <formula>AND($G$49:$K$49=FALSE)</formula>
    </cfRule>
  </conditionalFormatting>
  <conditionalFormatting sqref="C50">
    <cfRule type="expression" dxfId="246" priority="1">
      <formula>AND($G$51:$K$51=FALSE)</formula>
    </cfRule>
  </conditionalFormatting>
  <conditionalFormatting sqref="C10:F11">
    <cfRule type="expression" dxfId="245" priority="19">
      <formula>AND($G$11:$I$11=FALSE)</formula>
    </cfRule>
  </conditionalFormatting>
  <conditionalFormatting sqref="C25:F26">
    <cfRule type="expression" dxfId="244" priority="13">
      <formula>AND($G$26:$K$26=FALSE)</formula>
    </cfRule>
  </conditionalFormatting>
  <conditionalFormatting sqref="C29:F30">
    <cfRule type="expression" dxfId="243" priority="8">
      <formula>AND($G$30:$K$30=FALSE)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E458D-9C01-4E98-88C4-DA247AE9C38A}">
  <sheetPr codeName="Feuil24"/>
  <dimension ref="B2:M34"/>
  <sheetViews>
    <sheetView showGridLines="0" tabSelected="1" showWhiteSpace="0" view="pageBreakPreview" topLeftCell="A11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353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24" customHeight="1" x14ac:dyDescent="0.4">
      <c r="B9" s="20"/>
      <c r="C9" s="22" t="s">
        <v>354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355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356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357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24" customHeight="1" x14ac:dyDescent="0.4">
      <c r="B16" s="20"/>
      <c r="C16" s="22" t="s">
        <v>358</v>
      </c>
      <c r="D16" s="22"/>
      <c r="E16" s="22"/>
      <c r="F16" s="20"/>
      <c r="G16" s="20"/>
      <c r="H16" s="20"/>
      <c r="I16" s="20"/>
      <c r="J16" s="21"/>
      <c r="K16" s="21"/>
      <c r="L16" s="20"/>
    </row>
    <row r="17" spans="2:12" ht="30" customHeight="1" x14ac:dyDescent="0.3">
      <c r="B17" s="20"/>
      <c r="C17" s="198" t="s">
        <v>359</v>
      </c>
      <c r="D17" s="198"/>
      <c r="E17" s="198"/>
      <c r="F17" s="198"/>
      <c r="G17" s="87" t="s">
        <v>58</v>
      </c>
      <c r="H17" s="140" t="s">
        <v>59</v>
      </c>
      <c r="I17" s="140" t="s">
        <v>60</v>
      </c>
      <c r="J17" s="140"/>
      <c r="K17" s="88"/>
      <c r="L17" s="20"/>
    </row>
    <row r="18" spans="2:12" ht="14.7" customHeight="1" x14ac:dyDescent="0.3">
      <c r="B18" s="20"/>
      <c r="C18" s="198"/>
      <c r="D18" s="198"/>
      <c r="E18" s="198"/>
      <c r="F18" s="198"/>
      <c r="G18" s="89" t="b">
        <v>0</v>
      </c>
      <c r="H18" s="82" t="b">
        <v>0</v>
      </c>
      <c r="I18" s="82" t="b">
        <v>0</v>
      </c>
      <c r="J18" s="94"/>
      <c r="K18" s="95"/>
      <c r="L18" s="20"/>
    </row>
    <row r="19" spans="2:12" ht="16.2" x14ac:dyDescent="0.3">
      <c r="B19" s="20"/>
      <c r="C19" s="198" t="s">
        <v>360</v>
      </c>
      <c r="D19" s="198"/>
      <c r="E19" s="198"/>
      <c r="F19" s="198"/>
      <c r="G19" s="87" t="s">
        <v>58</v>
      </c>
      <c r="H19" s="140">
        <v>0</v>
      </c>
      <c r="I19" s="140">
        <v>1</v>
      </c>
      <c r="J19" s="140">
        <v>2</v>
      </c>
      <c r="K19" s="88">
        <v>3</v>
      </c>
      <c r="L19" s="20"/>
    </row>
    <row r="20" spans="2:12" ht="14.7" customHeight="1" x14ac:dyDescent="0.3">
      <c r="B20" s="20"/>
      <c r="C20" s="198"/>
      <c r="D20" s="198"/>
      <c r="E20" s="198"/>
      <c r="F20" s="198"/>
      <c r="G20" s="89" t="b">
        <v>0</v>
      </c>
      <c r="H20" s="82" t="b">
        <v>0</v>
      </c>
      <c r="I20" s="82" t="b">
        <v>0</v>
      </c>
      <c r="J20" s="82" t="b">
        <v>0</v>
      </c>
      <c r="K20" s="91" t="b">
        <v>0</v>
      </c>
      <c r="L20" s="20"/>
    </row>
    <row r="21" spans="2:12" ht="16.2" x14ac:dyDescent="0.3">
      <c r="B21" s="20"/>
      <c r="C21" s="198" t="s">
        <v>361</v>
      </c>
      <c r="D21" s="198"/>
      <c r="E21" s="198"/>
      <c r="F21" s="198"/>
      <c r="G21" s="87" t="s">
        <v>58</v>
      </c>
      <c r="H21" s="140">
        <v>0</v>
      </c>
      <c r="I21" s="140">
        <v>1</v>
      </c>
      <c r="J21" s="140">
        <v>2</v>
      </c>
      <c r="K21" s="88">
        <v>3</v>
      </c>
      <c r="L21" s="20"/>
    </row>
    <row r="22" spans="2:12" ht="14.7" customHeight="1" x14ac:dyDescent="0.3">
      <c r="B22" s="20"/>
      <c r="C22" s="198"/>
      <c r="D22" s="198"/>
      <c r="E22" s="198"/>
      <c r="F22" s="198"/>
      <c r="G22" s="89" t="b">
        <v>0</v>
      </c>
      <c r="H22" s="82" t="b">
        <v>0</v>
      </c>
      <c r="I22" s="82" t="b">
        <v>0</v>
      </c>
      <c r="J22" s="82" t="b">
        <v>0</v>
      </c>
      <c r="K22" s="91" t="b">
        <v>0</v>
      </c>
      <c r="L22" s="20"/>
    </row>
    <row r="23" spans="2:12" ht="16.2" x14ac:dyDescent="0.3">
      <c r="B23" s="20"/>
      <c r="C23" s="198" t="s">
        <v>362</v>
      </c>
      <c r="D23" s="198"/>
      <c r="E23" s="198"/>
      <c r="F23" s="198"/>
      <c r="G23" s="87" t="s">
        <v>58</v>
      </c>
      <c r="H23" s="140" t="s">
        <v>59</v>
      </c>
      <c r="I23" s="140" t="s">
        <v>60</v>
      </c>
      <c r="J23" s="140"/>
      <c r="K23" s="88"/>
      <c r="L23" s="20"/>
    </row>
    <row r="24" spans="2:12" x14ac:dyDescent="0.3">
      <c r="B24" s="20"/>
      <c r="C24" s="198"/>
      <c r="D24" s="198"/>
      <c r="E24" s="198"/>
      <c r="F24" s="198"/>
      <c r="G24" s="89" t="b">
        <v>0</v>
      </c>
      <c r="H24" s="82" t="b">
        <v>0</v>
      </c>
      <c r="I24" s="82" t="b">
        <v>0</v>
      </c>
      <c r="J24" s="94"/>
      <c r="K24" s="95"/>
      <c r="L24" s="20"/>
    </row>
    <row r="25" spans="2:12" ht="16.350000000000001" customHeight="1" x14ac:dyDescent="0.3">
      <c r="B25" s="20"/>
      <c r="C25" s="198" t="s">
        <v>170</v>
      </c>
      <c r="D25" s="198"/>
      <c r="E25" s="198"/>
      <c r="F25" s="198"/>
      <c r="G25" s="87" t="s">
        <v>58</v>
      </c>
      <c r="H25" s="140">
        <v>0</v>
      </c>
      <c r="I25" s="140">
        <v>1</v>
      </c>
      <c r="J25" s="140">
        <v>2</v>
      </c>
      <c r="K25" s="88">
        <v>3</v>
      </c>
      <c r="L25" s="20"/>
    </row>
    <row r="26" spans="2:12" ht="14.7" customHeight="1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82" t="b">
        <v>0</v>
      </c>
      <c r="K26" s="91" t="b">
        <v>0</v>
      </c>
      <c r="L26" s="20"/>
    </row>
    <row r="27" spans="2:12" ht="16.2" x14ac:dyDescent="0.3">
      <c r="B27" s="20"/>
      <c r="C27" s="198" t="s">
        <v>171</v>
      </c>
      <c r="D27" s="198"/>
      <c r="E27" s="198"/>
      <c r="F27" s="198"/>
      <c r="G27" s="87" t="s">
        <v>58</v>
      </c>
      <c r="H27" s="140">
        <v>0</v>
      </c>
      <c r="I27" s="140">
        <v>1</v>
      </c>
      <c r="J27" s="140">
        <v>2</v>
      </c>
      <c r="K27" s="88">
        <v>3</v>
      </c>
      <c r="L27" s="20"/>
    </row>
    <row r="28" spans="2:12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82" t="b">
        <v>0</v>
      </c>
      <c r="K28" s="91" t="b">
        <v>0</v>
      </c>
      <c r="L28" s="20"/>
    </row>
    <row r="29" spans="2:12" x14ac:dyDescent="0.3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2:12" x14ac:dyDescent="0.3">
      <c r="B30" s="29"/>
      <c r="C30" s="29"/>
      <c r="D30" s="29"/>
      <c r="E30" s="29"/>
      <c r="F30" s="31"/>
      <c r="G30" s="31"/>
      <c r="H30" s="31"/>
      <c r="I30" s="30"/>
      <c r="J30" s="30"/>
      <c r="K30" s="30"/>
      <c r="L30" s="30"/>
    </row>
    <row r="31" spans="2:12" x14ac:dyDescent="0.3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2:12" x14ac:dyDescent="0.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 x14ac:dyDescent="0.3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 x14ac:dyDescent="0.3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</sheetData>
  <sheetProtection sheet="1" objects="1" scenarios="1"/>
  <mergeCells count="11">
    <mergeCell ref="C27:F28"/>
    <mergeCell ref="C17:F18"/>
    <mergeCell ref="C19:F20"/>
    <mergeCell ref="C21:F22"/>
    <mergeCell ref="C23:F24"/>
    <mergeCell ref="C25:F26"/>
    <mergeCell ref="F3:K5"/>
    <mergeCell ref="C8:I8"/>
    <mergeCell ref="C10:F11"/>
    <mergeCell ref="C12:F13"/>
    <mergeCell ref="C14:F15"/>
  </mergeCells>
  <conditionalFormatting sqref="C12">
    <cfRule type="expression" dxfId="242" priority="20">
      <formula>AND($G$13:$K$13=FALSE)</formula>
    </cfRule>
  </conditionalFormatting>
  <conditionalFormatting sqref="C14">
    <cfRule type="expression" dxfId="241" priority="18">
      <formula>AND($G$15:$K$15=FALSE)</formula>
    </cfRule>
  </conditionalFormatting>
  <conditionalFormatting sqref="C17">
    <cfRule type="expression" dxfId="240" priority="14">
      <formula>AND($G$18:$K$18=FALSE)</formula>
    </cfRule>
  </conditionalFormatting>
  <conditionalFormatting sqref="C19">
    <cfRule type="expression" dxfId="239" priority="11">
      <formula>AND($G$20:$K$20=FALSE)</formula>
    </cfRule>
  </conditionalFormatting>
  <conditionalFormatting sqref="C23">
    <cfRule type="expression" dxfId="238" priority="16">
      <formula>AND($G$24:$K$24=FALSE)</formula>
    </cfRule>
  </conditionalFormatting>
  <conditionalFormatting sqref="C27">
    <cfRule type="expression" dxfId="237" priority="10">
      <formula>AND($G$28:$K$28=FALSE)</formula>
    </cfRule>
  </conditionalFormatting>
  <conditionalFormatting sqref="C10:F11">
    <cfRule type="expression" dxfId="236" priority="19">
      <formula>AND($G$11:$I$11=FALSE)</formula>
    </cfRule>
  </conditionalFormatting>
  <conditionalFormatting sqref="C21:F22">
    <cfRule type="expression" dxfId="235" priority="13">
      <formula>AND($G$22:$K$22=FALSE)</formula>
    </cfRule>
  </conditionalFormatting>
  <conditionalFormatting sqref="C25:F26">
    <cfRule type="expression" dxfId="234" priority="8">
      <formula>AND($G$26:$K$26=FALSE)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401E-A08D-4535-A9AF-F94AF81AD518}">
  <sheetPr codeName="Feuil25"/>
  <dimension ref="B2:M33"/>
  <sheetViews>
    <sheetView showGridLines="0" tabSelected="1" view="pageBreakPreview" zoomScaleNormal="11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363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24" customHeight="1" x14ac:dyDescent="0.4">
      <c r="B9" s="20"/>
      <c r="C9" s="22" t="s">
        <v>364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365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332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333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334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94"/>
      <c r="K17" s="95"/>
      <c r="L17" s="20"/>
    </row>
    <row r="18" spans="2:12" ht="16.350000000000001" customHeight="1" x14ac:dyDescent="0.3">
      <c r="B18" s="20"/>
      <c r="C18" s="198" t="s">
        <v>337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350000000000001" customHeight="1" x14ac:dyDescent="0.3">
      <c r="B20" s="20"/>
      <c r="C20" s="210" t="s">
        <v>338</v>
      </c>
      <c r="D20" s="211"/>
      <c r="E20" s="211"/>
      <c r="F20" s="212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213"/>
      <c r="D21" s="214"/>
      <c r="E21" s="214"/>
      <c r="F21" s="215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350000000000001" customHeight="1" x14ac:dyDescent="0.3">
      <c r="B22" s="20"/>
      <c r="C22" s="198" t="s">
        <v>340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16.350000000000001" customHeight="1" x14ac:dyDescent="0.3">
      <c r="B24" s="20"/>
      <c r="C24" s="198" t="s">
        <v>341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16.350000000000001" customHeight="1" x14ac:dyDescent="0.3">
      <c r="B26" s="20"/>
      <c r="C26" s="198" t="s">
        <v>342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x14ac:dyDescent="0.3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2:12" x14ac:dyDescent="0.3">
      <c r="B29" s="29"/>
      <c r="C29" s="29"/>
      <c r="D29" s="29"/>
      <c r="E29" s="29"/>
      <c r="F29" s="31"/>
      <c r="G29" s="31"/>
      <c r="H29" s="31"/>
      <c r="I29" s="30"/>
      <c r="J29" s="30"/>
      <c r="K29" s="30"/>
      <c r="L29" s="30"/>
    </row>
    <row r="30" spans="2:12" x14ac:dyDescent="0.3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2:12" x14ac:dyDescent="0.3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2:12" x14ac:dyDescent="0.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 x14ac:dyDescent="0.3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</sheetData>
  <sheetProtection sheet="1" objects="1" scenarios="1"/>
  <mergeCells count="11">
    <mergeCell ref="C20:F21"/>
    <mergeCell ref="C22:F23"/>
    <mergeCell ref="C24:F25"/>
    <mergeCell ref="C26:F27"/>
    <mergeCell ref="C16:F17"/>
    <mergeCell ref="C18:F19"/>
    <mergeCell ref="F3:K5"/>
    <mergeCell ref="C8:I8"/>
    <mergeCell ref="C10:F11"/>
    <mergeCell ref="C12:F13"/>
    <mergeCell ref="C14:F15"/>
  </mergeCells>
  <conditionalFormatting sqref="C12">
    <cfRule type="expression" dxfId="233" priority="16">
      <formula>AND($G$13:$K$13=FALSE)</formula>
    </cfRule>
  </conditionalFormatting>
  <conditionalFormatting sqref="C14">
    <cfRule type="expression" dxfId="232" priority="14">
      <formula>AND($G$15:$K$15=FALSE)</formula>
    </cfRule>
  </conditionalFormatting>
  <conditionalFormatting sqref="C16">
    <cfRule type="expression" dxfId="231" priority="1">
      <formula>AND($G$17:$K$17=FALSE)</formula>
    </cfRule>
  </conditionalFormatting>
  <conditionalFormatting sqref="C18">
    <cfRule type="expression" dxfId="230" priority="6">
      <formula>AND($G$19:$K$19=FALSE)</formula>
    </cfRule>
  </conditionalFormatting>
  <conditionalFormatting sqref="C20">
    <cfRule type="expression" dxfId="229" priority="4">
      <formula>AND($G$21:$K$21=FALSE)</formula>
    </cfRule>
  </conditionalFormatting>
  <conditionalFormatting sqref="C22">
    <cfRule type="expression" dxfId="228" priority="7">
      <formula>AND($G$23:$K$23=FALSE)</formula>
    </cfRule>
  </conditionalFormatting>
  <conditionalFormatting sqref="C26">
    <cfRule type="expression" dxfId="227" priority="3">
      <formula>AND($G$27:$K$27=FALSE)</formula>
    </cfRule>
  </conditionalFormatting>
  <conditionalFormatting sqref="C10:F11">
    <cfRule type="expression" dxfId="226" priority="15">
      <formula>AND($G$11:$I$11=FALSE)</formula>
    </cfRule>
  </conditionalFormatting>
  <conditionalFormatting sqref="C24:F25">
    <cfRule type="expression" dxfId="225" priority="2">
      <formula>AND($G$25:$K$25=FALSE)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53F7-66AA-4680-A388-777D009021A6}">
  <sheetPr codeName="Feuil26"/>
  <dimension ref="B2:M49"/>
  <sheetViews>
    <sheetView showGridLines="0" tabSelected="1" showWhiteSpace="0" view="pageBreakPreview" topLeftCell="A21" zoomScaleNormal="11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366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367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368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369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30.6" customHeight="1" x14ac:dyDescent="0.3">
      <c r="B14" s="20"/>
      <c r="C14" s="198" t="s">
        <v>370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24" customHeight="1" x14ac:dyDescent="0.4">
      <c r="B16" s="20"/>
      <c r="C16" s="22" t="s">
        <v>371</v>
      </c>
      <c r="D16" s="22"/>
      <c r="E16" s="22"/>
      <c r="F16" s="20"/>
      <c r="G16" s="20"/>
      <c r="H16" s="20"/>
      <c r="I16" s="20"/>
      <c r="J16" s="21"/>
      <c r="K16" s="21"/>
      <c r="L16" s="20"/>
    </row>
    <row r="17" spans="2:12" ht="16.2" x14ac:dyDescent="0.3">
      <c r="B17" s="20"/>
      <c r="C17" s="198" t="s">
        <v>372</v>
      </c>
      <c r="D17" s="198"/>
      <c r="E17" s="198"/>
      <c r="F17" s="198"/>
      <c r="G17" s="87" t="s">
        <v>58</v>
      </c>
      <c r="H17" s="140" t="s">
        <v>59</v>
      </c>
      <c r="I17" s="140" t="s">
        <v>60</v>
      </c>
      <c r="J17" s="140"/>
      <c r="K17" s="88"/>
      <c r="L17" s="20"/>
    </row>
    <row r="18" spans="2:12" x14ac:dyDescent="0.3">
      <c r="B18" s="20"/>
      <c r="C18" s="198"/>
      <c r="D18" s="198"/>
      <c r="E18" s="198"/>
      <c r="F18" s="198"/>
      <c r="G18" s="89" t="b">
        <v>0</v>
      </c>
      <c r="H18" s="82" t="b">
        <v>0</v>
      </c>
      <c r="I18" s="82" t="b">
        <v>0</v>
      </c>
      <c r="J18" s="94"/>
      <c r="K18" s="95"/>
      <c r="L18" s="20"/>
    </row>
    <row r="19" spans="2:12" ht="16.2" x14ac:dyDescent="0.3">
      <c r="B19" s="20"/>
      <c r="C19" s="198" t="s">
        <v>373</v>
      </c>
      <c r="D19" s="198"/>
      <c r="E19" s="198"/>
      <c r="F19" s="198"/>
      <c r="G19" s="87" t="s">
        <v>58</v>
      </c>
      <c r="H19" s="140">
        <v>0</v>
      </c>
      <c r="I19" s="140">
        <v>1</v>
      </c>
      <c r="J19" s="140">
        <v>2</v>
      </c>
      <c r="K19" s="88">
        <v>3</v>
      </c>
      <c r="L19" s="20"/>
    </row>
    <row r="20" spans="2:12" ht="14.7" customHeight="1" x14ac:dyDescent="0.3">
      <c r="B20" s="20"/>
      <c r="C20" s="198"/>
      <c r="D20" s="198"/>
      <c r="E20" s="198"/>
      <c r="F20" s="198"/>
      <c r="G20" s="89" t="b">
        <v>0</v>
      </c>
      <c r="H20" s="82" t="b">
        <v>0</v>
      </c>
      <c r="I20" s="82" t="b">
        <v>0</v>
      </c>
      <c r="J20" s="82" t="b">
        <v>0</v>
      </c>
      <c r="K20" s="91" t="b">
        <v>0</v>
      </c>
      <c r="L20" s="20"/>
    </row>
    <row r="21" spans="2:12" ht="16.2" x14ac:dyDescent="0.3">
      <c r="B21" s="20"/>
      <c r="C21" s="197" t="s">
        <v>374</v>
      </c>
      <c r="D21" s="197"/>
      <c r="E21" s="197"/>
      <c r="F21" s="197"/>
      <c r="G21" s="87" t="s">
        <v>58</v>
      </c>
      <c r="H21" s="140">
        <v>0</v>
      </c>
      <c r="I21" s="140">
        <v>1</v>
      </c>
      <c r="J21" s="140">
        <v>2</v>
      </c>
      <c r="K21" s="88">
        <v>3</v>
      </c>
      <c r="L21" s="20"/>
    </row>
    <row r="22" spans="2:12" ht="14.7" customHeight="1" x14ac:dyDescent="0.3">
      <c r="B22" s="20"/>
      <c r="C22" s="197"/>
      <c r="D22" s="197"/>
      <c r="E22" s="197"/>
      <c r="F22" s="197"/>
      <c r="G22" s="89" t="b">
        <v>0</v>
      </c>
      <c r="H22" s="82" t="b">
        <v>0</v>
      </c>
      <c r="I22" s="82" t="b">
        <v>0</v>
      </c>
      <c r="J22" s="82" t="b">
        <v>0</v>
      </c>
      <c r="K22" s="91" t="b">
        <v>0</v>
      </c>
      <c r="L22" s="20"/>
    </row>
    <row r="23" spans="2:12" ht="24" customHeight="1" x14ac:dyDescent="0.4">
      <c r="B23" s="20"/>
      <c r="C23" s="22" t="s">
        <v>375</v>
      </c>
      <c r="D23" s="22"/>
      <c r="E23" s="22"/>
      <c r="F23" s="20"/>
      <c r="G23" s="20"/>
      <c r="H23" s="20"/>
      <c r="I23" s="20"/>
      <c r="J23" s="21"/>
      <c r="K23" s="21"/>
      <c r="L23" s="20"/>
    </row>
    <row r="24" spans="2:12" ht="16.2" x14ac:dyDescent="0.3">
      <c r="B24" s="20"/>
      <c r="C24" s="198" t="s">
        <v>372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16.2" x14ac:dyDescent="0.3">
      <c r="B26" s="20"/>
      <c r="C26" s="198" t="s">
        <v>373</v>
      </c>
      <c r="D26" s="198"/>
      <c r="E26" s="198"/>
      <c r="F26" s="198"/>
      <c r="G26" s="87" t="s">
        <v>58</v>
      </c>
      <c r="H26" s="140">
        <v>0</v>
      </c>
      <c r="I26" s="140">
        <v>1</v>
      </c>
      <c r="J26" s="140">
        <v>2</v>
      </c>
      <c r="K26" s="88">
        <v>3</v>
      </c>
      <c r="L26" s="20"/>
    </row>
    <row r="27" spans="2:12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82" t="b">
        <v>0</v>
      </c>
      <c r="K27" s="91" t="b">
        <v>0</v>
      </c>
      <c r="L27" s="20"/>
    </row>
    <row r="28" spans="2:12" ht="16.350000000000001" customHeight="1" x14ac:dyDescent="0.3">
      <c r="B28" s="20"/>
      <c r="C28" s="198" t="s">
        <v>374</v>
      </c>
      <c r="D28" s="198"/>
      <c r="E28" s="198"/>
      <c r="F28" s="198"/>
      <c r="G28" s="87" t="s">
        <v>58</v>
      </c>
      <c r="H28" s="140">
        <v>0</v>
      </c>
      <c r="I28" s="140">
        <v>1</v>
      </c>
      <c r="J28" s="140">
        <v>2</v>
      </c>
      <c r="K28" s="88">
        <v>3</v>
      </c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82" t="b">
        <v>0</v>
      </c>
      <c r="K29" s="91" t="b">
        <v>0</v>
      </c>
      <c r="L29" s="20"/>
    </row>
    <row r="30" spans="2:12" ht="24" customHeight="1" x14ac:dyDescent="0.4">
      <c r="B30" s="20"/>
      <c r="C30" s="22" t="s">
        <v>376</v>
      </c>
      <c r="D30" s="22"/>
      <c r="E30" s="22"/>
      <c r="F30" s="20"/>
      <c r="G30" s="20"/>
      <c r="H30" s="20"/>
      <c r="I30" s="20"/>
      <c r="J30" s="21"/>
      <c r="K30" s="21"/>
      <c r="L30" s="20"/>
    </row>
    <row r="31" spans="2:12" ht="16.350000000000001" customHeight="1" x14ac:dyDescent="0.3">
      <c r="B31" s="20"/>
      <c r="C31" s="198" t="s">
        <v>372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16.2" x14ac:dyDescent="0.3">
      <c r="B33" s="20"/>
      <c r="C33" s="198" t="s">
        <v>373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20"/>
    </row>
    <row r="35" spans="2:12" ht="16.350000000000001" customHeight="1" x14ac:dyDescent="0.3">
      <c r="B35" s="20"/>
      <c r="C35" s="198" t="s">
        <v>374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20"/>
    </row>
    <row r="37" spans="2:12" ht="24" customHeight="1" x14ac:dyDescent="0.4">
      <c r="B37" s="20"/>
      <c r="C37" s="22" t="s">
        <v>377</v>
      </c>
      <c r="D37" s="22"/>
      <c r="E37" s="22"/>
      <c r="F37" s="20"/>
      <c r="G37" s="20"/>
      <c r="H37" s="20"/>
      <c r="I37" s="20"/>
      <c r="J37" s="21"/>
      <c r="K37" s="21"/>
      <c r="L37" s="20"/>
    </row>
    <row r="38" spans="2:12" ht="16.350000000000001" customHeight="1" x14ac:dyDescent="0.3">
      <c r="B38" s="20"/>
      <c r="C38" s="198" t="s">
        <v>372</v>
      </c>
      <c r="D38" s="198"/>
      <c r="E38" s="198"/>
      <c r="F38" s="198"/>
      <c r="G38" s="87" t="s">
        <v>58</v>
      </c>
      <c r="H38" s="140" t="s">
        <v>59</v>
      </c>
      <c r="I38" s="140" t="s">
        <v>60</v>
      </c>
      <c r="J38" s="140"/>
      <c r="K38" s="88"/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94"/>
      <c r="K39" s="95"/>
      <c r="L39" s="20"/>
    </row>
    <row r="40" spans="2:12" ht="16.350000000000001" customHeight="1" x14ac:dyDescent="0.3">
      <c r="B40" s="20"/>
      <c r="C40" s="198" t="s">
        <v>373</v>
      </c>
      <c r="D40" s="198"/>
      <c r="E40" s="198"/>
      <c r="F40" s="198"/>
      <c r="G40" s="87" t="s">
        <v>58</v>
      </c>
      <c r="H40" s="140">
        <v>0</v>
      </c>
      <c r="I40" s="140">
        <v>1</v>
      </c>
      <c r="J40" s="140">
        <v>2</v>
      </c>
      <c r="K40" s="88">
        <v>3</v>
      </c>
      <c r="L40" s="20"/>
    </row>
    <row r="41" spans="2:12" ht="14.7" customHeight="1" x14ac:dyDescent="0.3">
      <c r="B41" s="20"/>
      <c r="C41" s="198"/>
      <c r="D41" s="198"/>
      <c r="E41" s="198"/>
      <c r="F41" s="198"/>
      <c r="G41" s="89" t="b">
        <v>0</v>
      </c>
      <c r="H41" s="82" t="b">
        <v>0</v>
      </c>
      <c r="I41" s="82" t="b">
        <v>0</v>
      </c>
      <c r="J41" s="82" t="b">
        <v>0</v>
      </c>
      <c r="K41" s="91" t="b">
        <v>0</v>
      </c>
      <c r="L41" s="20"/>
    </row>
    <row r="42" spans="2:12" ht="16.2" x14ac:dyDescent="0.3">
      <c r="B42" s="20"/>
      <c r="C42" s="198" t="s">
        <v>374</v>
      </c>
      <c r="D42" s="198"/>
      <c r="E42" s="198"/>
      <c r="F42" s="198"/>
      <c r="G42" s="87" t="s">
        <v>58</v>
      </c>
      <c r="H42" s="140">
        <v>0</v>
      </c>
      <c r="I42" s="140">
        <v>1</v>
      </c>
      <c r="J42" s="140">
        <v>2</v>
      </c>
      <c r="K42" s="88">
        <v>3</v>
      </c>
      <c r="L42" s="20"/>
    </row>
    <row r="43" spans="2:12" ht="14.7" customHeight="1" x14ac:dyDescent="0.3">
      <c r="B43" s="20"/>
      <c r="C43" s="198"/>
      <c r="D43" s="198"/>
      <c r="E43" s="198"/>
      <c r="F43" s="198"/>
      <c r="G43" s="89" t="b">
        <v>0</v>
      </c>
      <c r="H43" s="82" t="b">
        <v>0</v>
      </c>
      <c r="I43" s="82" t="b">
        <v>0</v>
      </c>
      <c r="J43" s="82" t="b">
        <v>0</v>
      </c>
      <c r="K43" s="91" t="b">
        <v>0</v>
      </c>
      <c r="L43" s="20"/>
    </row>
    <row r="44" spans="2:12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2:12" x14ac:dyDescent="0.3">
      <c r="B45" s="29"/>
      <c r="C45" s="29"/>
      <c r="D45" s="29"/>
      <c r="E45" s="29"/>
      <c r="F45" s="31"/>
      <c r="G45" s="31"/>
      <c r="H45" s="31"/>
      <c r="I45" s="30"/>
      <c r="J45" s="30"/>
      <c r="K45" s="30"/>
      <c r="L45" s="30"/>
    </row>
    <row r="46" spans="2:12" x14ac:dyDescent="0.3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2:12" x14ac:dyDescent="0.3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 x14ac:dyDescent="0.3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 x14ac:dyDescent="0.3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</sheetData>
  <sheetProtection sheet="1" objects="1" scenarios="1"/>
  <mergeCells count="17">
    <mergeCell ref="C40:F41"/>
    <mergeCell ref="C42:F43"/>
    <mergeCell ref="C31:F32"/>
    <mergeCell ref="C33:F34"/>
    <mergeCell ref="C35:F36"/>
    <mergeCell ref="C38:F39"/>
    <mergeCell ref="C28:F29"/>
    <mergeCell ref="F3:K5"/>
    <mergeCell ref="C8:I8"/>
    <mergeCell ref="C10:F11"/>
    <mergeCell ref="C12:F13"/>
    <mergeCell ref="C14:F15"/>
    <mergeCell ref="C17:F18"/>
    <mergeCell ref="C19:F20"/>
    <mergeCell ref="C21:F22"/>
    <mergeCell ref="C24:F25"/>
    <mergeCell ref="C26:F27"/>
  </mergeCells>
  <conditionalFormatting sqref="C12">
    <cfRule type="expression" dxfId="224" priority="28">
      <formula>AND($G$13:$K$13=FALSE)</formula>
    </cfRule>
  </conditionalFormatting>
  <conditionalFormatting sqref="C14">
    <cfRule type="expression" dxfId="223" priority="26">
      <formula>AND($G$15:$K$15=FALSE)</formula>
    </cfRule>
  </conditionalFormatting>
  <conditionalFormatting sqref="C17">
    <cfRule type="expression" dxfId="222" priority="23">
      <formula>AND($G$18:$K$18=FALSE)</formula>
    </cfRule>
  </conditionalFormatting>
  <conditionalFormatting sqref="C19">
    <cfRule type="expression" dxfId="221" priority="22">
      <formula>AND($G$20:$K$20=FALSE)</formula>
    </cfRule>
  </conditionalFormatting>
  <conditionalFormatting sqref="C21">
    <cfRule type="expression" dxfId="220" priority="19">
      <formula>AND($G$22:$K$22=FALSE)</formula>
    </cfRule>
  </conditionalFormatting>
  <conditionalFormatting sqref="C26">
    <cfRule type="expression" dxfId="219" priority="24">
      <formula>AND($G$27:$K$27=FALSE)</formula>
    </cfRule>
  </conditionalFormatting>
  <conditionalFormatting sqref="C33">
    <cfRule type="expression" dxfId="218" priority="6">
      <formula>AND($G$34:$K$34=FALSE)</formula>
    </cfRule>
  </conditionalFormatting>
  <conditionalFormatting sqref="C40">
    <cfRule type="expression" dxfId="217" priority="3">
      <formula>AND($G$41:$K$41=FALSE)</formula>
    </cfRule>
  </conditionalFormatting>
  <conditionalFormatting sqref="C10:F11">
    <cfRule type="expression" dxfId="216" priority="27">
      <formula>AND($G$11:$I$11=FALSE)</formula>
    </cfRule>
  </conditionalFormatting>
  <conditionalFormatting sqref="C24:F25">
    <cfRule type="expression" dxfId="215" priority="21">
      <formula>AND($G$25:$K$25=FALSE)</formula>
    </cfRule>
  </conditionalFormatting>
  <conditionalFormatting sqref="C28:F29">
    <cfRule type="expression" dxfId="214" priority="16">
      <formula>AND($G$29:$K$29=FALSE)</formula>
    </cfRule>
  </conditionalFormatting>
  <conditionalFormatting sqref="C31:F32">
    <cfRule type="expression" dxfId="213" priority="5">
      <formula>AND($G$32:$K$32=FALSE)</formula>
    </cfRule>
  </conditionalFormatting>
  <conditionalFormatting sqref="C35:F36">
    <cfRule type="expression" dxfId="212" priority="4">
      <formula>AND($G$36:$K$36=FALSE)</formula>
    </cfRule>
  </conditionalFormatting>
  <conditionalFormatting sqref="C38:F39">
    <cfRule type="expression" dxfId="211" priority="2">
      <formula>AND($G$39:$K$39=FALSE)</formula>
    </cfRule>
  </conditionalFormatting>
  <conditionalFormatting sqref="C42:F43">
    <cfRule type="expression" dxfId="210" priority="1">
      <formula>AND($G$43:$K$43=FALSE)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B614-FEB3-4CED-94EB-BE4B0963A3E5}">
  <sheetPr codeName="Feuil27"/>
  <dimension ref="B2:M23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378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24" customHeight="1" x14ac:dyDescent="0.4">
      <c r="B9" s="20"/>
      <c r="C9" s="22" t="s">
        <v>379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380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381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382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383</v>
      </c>
      <c r="D16" s="198"/>
      <c r="E16" s="198"/>
      <c r="F16" s="198"/>
      <c r="G16" s="87" t="s">
        <v>58</v>
      </c>
      <c r="H16" s="140">
        <v>0</v>
      </c>
      <c r="I16" s="140">
        <v>1</v>
      </c>
      <c r="J16" s="140">
        <v>2</v>
      </c>
      <c r="K16" s="88">
        <v>3</v>
      </c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2" t="b">
        <v>0</v>
      </c>
      <c r="K17" s="91" t="b">
        <v>0</v>
      </c>
      <c r="L17" s="20"/>
    </row>
    <row r="18" spans="2:12" x14ac:dyDescent="0.3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2:12" x14ac:dyDescent="0.3">
      <c r="B19" s="29"/>
      <c r="C19" s="29"/>
      <c r="D19" s="29"/>
      <c r="E19" s="29"/>
      <c r="F19" s="31"/>
      <c r="G19" s="31"/>
      <c r="H19" s="31"/>
      <c r="I19" s="30"/>
      <c r="J19" s="30"/>
      <c r="K19" s="30"/>
      <c r="L19" s="30"/>
    </row>
    <row r="20" spans="2:12" x14ac:dyDescent="0.3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3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3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</sheetData>
  <sheetProtection sheet="1" objects="1" scenarios="1"/>
  <mergeCells count="6">
    <mergeCell ref="C16:F17"/>
    <mergeCell ref="F3:K5"/>
    <mergeCell ref="C8:I8"/>
    <mergeCell ref="C10:F11"/>
    <mergeCell ref="C12:F13"/>
    <mergeCell ref="C14:F15"/>
  </mergeCells>
  <conditionalFormatting sqref="C12">
    <cfRule type="expression" dxfId="209" priority="9">
      <formula>AND($G$13:$K$13=FALSE)</formula>
    </cfRule>
  </conditionalFormatting>
  <conditionalFormatting sqref="C14">
    <cfRule type="expression" dxfId="208" priority="7">
      <formula>AND($G$15:$K$15=FALSE)</formula>
    </cfRule>
  </conditionalFormatting>
  <conditionalFormatting sqref="C16">
    <cfRule type="expression" dxfId="207" priority="1">
      <formula>AND($G$17:$K$17=FALSE)</formula>
    </cfRule>
  </conditionalFormatting>
  <conditionalFormatting sqref="C10:F11">
    <cfRule type="expression" dxfId="206" priority="8">
      <formula>AND($G$11:$I$11=FALSE)</formula>
    </cfRule>
  </conditionalFormatting>
  <pageMargins left="0.7" right="0.7" top="0.75" bottom="0.75" header="0.3" footer="0.3"/>
  <pageSetup paperSize="9" scale="6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F6D2-C979-4BD5-81CE-1E097A5D2743}">
  <sheetPr codeName="Feuil28"/>
  <dimension ref="B2:O67"/>
  <sheetViews>
    <sheetView showGridLines="0" tabSelected="1" showWhiteSpace="0" view="pageBreakPreview" topLeftCell="A41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3" width="11.6640625" style="19"/>
    <col min="14" max="15" width="3.77734375" style="19" customWidth="1"/>
    <col min="16" max="16384" width="11.6640625" style="19"/>
  </cols>
  <sheetData>
    <row r="2" spans="2:15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5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39"/>
      <c r="M3" s="39"/>
      <c r="N3" s="20"/>
      <c r="O3" s="23"/>
    </row>
    <row r="4" spans="2:15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39"/>
      <c r="M4" s="39"/>
      <c r="N4" s="20"/>
    </row>
    <row r="5" spans="2:15" ht="18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39"/>
      <c r="M5" s="39"/>
      <c r="N5" s="20"/>
    </row>
    <row r="6" spans="2:15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1"/>
      <c r="M6" s="21"/>
      <c r="N6" s="20"/>
      <c r="O6" s="24"/>
    </row>
    <row r="7" spans="2:15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30"/>
      <c r="N7" s="30"/>
      <c r="O7" s="24"/>
    </row>
    <row r="8" spans="2:15" ht="18" x14ac:dyDescent="0.3">
      <c r="B8" s="20"/>
      <c r="C8" s="209" t="s">
        <v>384</v>
      </c>
      <c r="D8" s="209"/>
      <c r="E8" s="209"/>
      <c r="F8" s="209"/>
      <c r="G8" s="209"/>
      <c r="H8" s="209"/>
      <c r="I8" s="209"/>
      <c r="J8" s="20"/>
      <c r="K8" s="20"/>
      <c r="L8" s="20"/>
      <c r="M8" s="20"/>
      <c r="N8" s="20"/>
    </row>
    <row r="9" spans="2:15" ht="18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1"/>
      <c r="M9" s="21"/>
      <c r="N9" s="20"/>
    </row>
    <row r="10" spans="2:15" ht="32.4" x14ac:dyDescent="0.3">
      <c r="B10" s="20"/>
      <c r="C10" s="198" t="s">
        <v>385</v>
      </c>
      <c r="D10" s="198"/>
      <c r="E10" s="198"/>
      <c r="F10" s="198"/>
      <c r="G10" s="87" t="s">
        <v>210</v>
      </c>
      <c r="H10" s="84" t="s">
        <v>386</v>
      </c>
      <c r="I10" s="84" t="s">
        <v>387</v>
      </c>
      <c r="J10" s="84" t="s">
        <v>388</v>
      </c>
      <c r="K10" s="84" t="s">
        <v>389</v>
      </c>
      <c r="L10" s="84" t="s">
        <v>390</v>
      </c>
      <c r="M10" s="98" t="s">
        <v>391</v>
      </c>
      <c r="N10" s="20"/>
    </row>
    <row r="11" spans="2:15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96" t="b">
        <v>0</v>
      </c>
      <c r="K11" s="96" t="b">
        <v>0</v>
      </c>
      <c r="L11" s="96" t="b">
        <v>0</v>
      </c>
      <c r="M11" s="97" t="b">
        <v>0</v>
      </c>
      <c r="N11" s="20"/>
    </row>
    <row r="12" spans="2:15" ht="16.2" x14ac:dyDescent="0.3">
      <c r="B12" s="20"/>
      <c r="C12" s="198" t="s">
        <v>392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140"/>
      <c r="L12" s="140"/>
      <c r="M12" s="88"/>
      <c r="N12" s="20"/>
    </row>
    <row r="13" spans="2:15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4"/>
      <c r="L13" s="94"/>
      <c r="M13" s="95"/>
      <c r="N13" s="20"/>
    </row>
    <row r="14" spans="2:15" ht="16.2" x14ac:dyDescent="0.3">
      <c r="B14" s="20"/>
      <c r="C14" s="198" t="s">
        <v>393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140">
        <v>3</v>
      </c>
      <c r="L14" s="140"/>
      <c r="M14" s="88"/>
      <c r="N14" s="20"/>
    </row>
    <row r="15" spans="2:15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82" t="b">
        <v>0</v>
      </c>
      <c r="L15" s="94"/>
      <c r="M15" s="95"/>
      <c r="N15" s="20"/>
    </row>
    <row r="16" spans="2:15" ht="16.2" x14ac:dyDescent="0.3">
      <c r="B16" s="20"/>
      <c r="C16" s="198" t="s">
        <v>394</v>
      </c>
      <c r="D16" s="198"/>
      <c r="E16" s="198"/>
      <c r="F16" s="198"/>
      <c r="G16" s="87" t="s">
        <v>58</v>
      </c>
      <c r="H16" s="140">
        <v>0</v>
      </c>
      <c r="I16" s="140">
        <v>1</v>
      </c>
      <c r="J16" s="140">
        <v>2</v>
      </c>
      <c r="K16" s="140">
        <v>3</v>
      </c>
      <c r="L16" s="140"/>
      <c r="M16" s="88"/>
      <c r="N16" s="20"/>
    </row>
    <row r="17" spans="2:14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96" t="b">
        <v>0</v>
      </c>
      <c r="K17" s="96" t="b">
        <v>0</v>
      </c>
      <c r="L17" s="83"/>
      <c r="M17" s="90"/>
      <c r="N17" s="20"/>
    </row>
    <row r="18" spans="2:14" ht="16.2" x14ac:dyDescent="0.3">
      <c r="B18" s="20"/>
      <c r="C18" s="198" t="s">
        <v>395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140"/>
      <c r="L18" s="140"/>
      <c r="M18" s="88"/>
      <c r="N18" s="20"/>
    </row>
    <row r="19" spans="2:14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4"/>
      <c r="L19" s="94"/>
      <c r="M19" s="95"/>
      <c r="N19" s="20"/>
    </row>
    <row r="20" spans="2:14" ht="16.2" x14ac:dyDescent="0.3">
      <c r="B20" s="20"/>
      <c r="C20" s="198" t="s">
        <v>396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140"/>
      <c r="L20" s="140"/>
      <c r="M20" s="88"/>
      <c r="N20" s="20"/>
    </row>
    <row r="21" spans="2:14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4"/>
      <c r="L21" s="94"/>
      <c r="M21" s="95"/>
      <c r="N21" s="20"/>
    </row>
    <row r="22" spans="2:14" ht="30.6" customHeight="1" x14ac:dyDescent="0.3">
      <c r="B22" s="20"/>
      <c r="C22" s="198" t="s">
        <v>397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140"/>
      <c r="L22" s="140"/>
      <c r="M22" s="88"/>
      <c r="N22" s="20"/>
    </row>
    <row r="23" spans="2:14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4"/>
      <c r="L23" s="94"/>
      <c r="M23" s="95"/>
      <c r="N23" s="20"/>
    </row>
    <row r="24" spans="2:14" ht="16.2" x14ac:dyDescent="0.3">
      <c r="B24" s="20"/>
      <c r="C24" s="198" t="s">
        <v>398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140"/>
      <c r="L24" s="140"/>
      <c r="M24" s="88"/>
      <c r="N24" s="20"/>
    </row>
    <row r="25" spans="2:14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4"/>
      <c r="L25" s="94"/>
      <c r="M25" s="95"/>
      <c r="N25" s="20"/>
    </row>
    <row r="26" spans="2:14" ht="24" customHeight="1" x14ac:dyDescent="0.4">
      <c r="B26" s="20"/>
      <c r="C26" s="22" t="s">
        <v>399</v>
      </c>
      <c r="D26" s="22"/>
      <c r="E26" s="22"/>
      <c r="F26" s="20"/>
      <c r="G26" s="20"/>
      <c r="H26" s="20"/>
      <c r="I26" s="20"/>
      <c r="J26" s="21"/>
      <c r="K26" s="21"/>
      <c r="L26" s="21"/>
      <c r="M26" s="21"/>
      <c r="N26" s="20"/>
    </row>
    <row r="27" spans="2:14" ht="31.35" customHeight="1" x14ac:dyDescent="0.3">
      <c r="B27" s="20"/>
      <c r="C27" s="198" t="s">
        <v>400</v>
      </c>
      <c r="D27" s="198"/>
      <c r="E27" s="198"/>
      <c r="F27" s="198"/>
      <c r="G27" s="87" t="s">
        <v>58</v>
      </c>
      <c r="H27" s="140" t="s">
        <v>59</v>
      </c>
      <c r="I27" s="140" t="s">
        <v>60</v>
      </c>
      <c r="J27" s="140"/>
      <c r="K27" s="88"/>
      <c r="L27" s="25"/>
      <c r="M27" s="25"/>
      <c r="N27" s="20"/>
    </row>
    <row r="28" spans="2:14" ht="14.7" customHeight="1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94"/>
      <c r="K28" s="95"/>
      <c r="L28" s="38"/>
      <c r="M28" s="38"/>
      <c r="N28" s="20"/>
    </row>
    <row r="29" spans="2:14" ht="16.2" x14ac:dyDescent="0.3">
      <c r="B29" s="20"/>
      <c r="C29" s="198" t="s">
        <v>401</v>
      </c>
      <c r="D29" s="198"/>
      <c r="E29" s="198"/>
      <c r="F29" s="198"/>
      <c r="G29" s="87" t="s">
        <v>58</v>
      </c>
      <c r="H29" s="140" t="s">
        <v>59</v>
      </c>
      <c r="I29" s="140" t="s">
        <v>60</v>
      </c>
      <c r="J29" s="140"/>
      <c r="K29" s="88"/>
      <c r="L29" s="25"/>
      <c r="M29" s="25"/>
      <c r="N29" s="20"/>
    </row>
    <row r="30" spans="2:14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94"/>
      <c r="K30" s="95"/>
      <c r="L30" s="38"/>
      <c r="M30" s="38"/>
      <c r="N30" s="20"/>
    </row>
    <row r="31" spans="2:14" ht="16.2" x14ac:dyDescent="0.3">
      <c r="B31" s="20"/>
      <c r="C31" s="198" t="s">
        <v>402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5"/>
      <c r="M31" s="25"/>
      <c r="N31" s="20"/>
    </row>
    <row r="32" spans="2:14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38"/>
      <c r="M32" s="38"/>
      <c r="N32" s="20"/>
    </row>
    <row r="33" spans="2:14" ht="16.2" x14ac:dyDescent="0.3">
      <c r="B33" s="20"/>
      <c r="C33" s="198" t="s">
        <v>403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5"/>
      <c r="M33" s="25"/>
      <c r="N33" s="20"/>
    </row>
    <row r="34" spans="2:14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38"/>
      <c r="M34" s="38"/>
      <c r="N34" s="20"/>
    </row>
    <row r="35" spans="2:14" ht="16.2" x14ac:dyDescent="0.3">
      <c r="B35" s="20"/>
      <c r="C35" s="198" t="s">
        <v>404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5"/>
      <c r="M35" s="25"/>
      <c r="N35" s="20"/>
    </row>
    <row r="36" spans="2:14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94"/>
      <c r="K36" s="95"/>
      <c r="L36" s="38"/>
      <c r="M36" s="38"/>
      <c r="N36" s="20"/>
    </row>
    <row r="37" spans="2:14" ht="16.2" x14ac:dyDescent="0.3">
      <c r="B37" s="20"/>
      <c r="C37" s="198" t="s">
        <v>405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5"/>
      <c r="M37" s="25"/>
      <c r="N37" s="20"/>
    </row>
    <row r="38" spans="2:14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38"/>
      <c r="M38" s="38"/>
      <c r="N38" s="20"/>
    </row>
    <row r="39" spans="2:14" ht="16.2" x14ac:dyDescent="0.3">
      <c r="B39" s="20"/>
      <c r="C39" s="197" t="s">
        <v>406</v>
      </c>
      <c r="D39" s="197"/>
      <c r="E39" s="197"/>
      <c r="F39" s="197"/>
      <c r="G39" s="87" t="s">
        <v>58</v>
      </c>
      <c r="H39" s="140">
        <v>0</v>
      </c>
      <c r="I39" s="140">
        <v>1</v>
      </c>
      <c r="J39" s="140">
        <v>2</v>
      </c>
      <c r="K39" s="88">
        <v>3</v>
      </c>
      <c r="L39" s="25"/>
      <c r="M39" s="25"/>
      <c r="N39" s="20"/>
    </row>
    <row r="40" spans="2:14" ht="14.7" customHeight="1" x14ac:dyDescent="0.3">
      <c r="B40" s="20"/>
      <c r="C40" s="197"/>
      <c r="D40" s="197"/>
      <c r="E40" s="197"/>
      <c r="F40" s="197"/>
      <c r="G40" s="89" t="b">
        <v>0</v>
      </c>
      <c r="H40" s="82" t="b">
        <v>0</v>
      </c>
      <c r="I40" s="82" t="b">
        <v>0</v>
      </c>
      <c r="J40" s="82" t="b">
        <v>0</v>
      </c>
      <c r="K40" s="91" t="b">
        <v>0</v>
      </c>
      <c r="L40" s="38"/>
      <c r="M40" s="38"/>
      <c r="N40" s="20"/>
    </row>
    <row r="41" spans="2:14" ht="16.2" x14ac:dyDescent="0.3">
      <c r="B41" s="20"/>
      <c r="C41" s="197" t="s">
        <v>407</v>
      </c>
      <c r="D41" s="197"/>
      <c r="E41" s="197"/>
      <c r="F41" s="197"/>
      <c r="G41" s="87" t="s">
        <v>58</v>
      </c>
      <c r="H41" s="140">
        <v>0</v>
      </c>
      <c r="I41" s="140">
        <v>1</v>
      </c>
      <c r="J41" s="140">
        <v>2</v>
      </c>
      <c r="K41" s="88">
        <v>3</v>
      </c>
      <c r="L41" s="25"/>
      <c r="M41" s="25"/>
      <c r="N41" s="20"/>
    </row>
    <row r="42" spans="2:14" ht="14.7" customHeight="1" x14ac:dyDescent="0.3">
      <c r="B42" s="20"/>
      <c r="C42" s="197"/>
      <c r="D42" s="197"/>
      <c r="E42" s="197"/>
      <c r="F42" s="197"/>
      <c r="G42" s="89" t="b">
        <v>0</v>
      </c>
      <c r="H42" s="82" t="b">
        <v>0</v>
      </c>
      <c r="I42" s="82" t="b">
        <v>0</v>
      </c>
      <c r="J42" s="82" t="b">
        <v>0</v>
      </c>
      <c r="K42" s="91" t="b">
        <v>0</v>
      </c>
      <c r="L42" s="38"/>
      <c r="M42" s="38"/>
      <c r="N42" s="20"/>
    </row>
    <row r="43" spans="2:14" ht="24" customHeight="1" x14ac:dyDescent="0.4">
      <c r="B43" s="20"/>
      <c r="C43" s="22" t="s">
        <v>408</v>
      </c>
      <c r="D43" s="22"/>
      <c r="E43" s="22"/>
      <c r="F43" s="20"/>
      <c r="G43" s="20"/>
      <c r="H43" s="20"/>
      <c r="I43" s="20"/>
      <c r="J43" s="21"/>
      <c r="K43" s="21"/>
      <c r="L43" s="21"/>
      <c r="M43" s="21"/>
      <c r="N43" s="20"/>
    </row>
    <row r="44" spans="2:14" ht="16.2" x14ac:dyDescent="0.3">
      <c r="B44" s="20"/>
      <c r="C44" s="198" t="s">
        <v>409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140"/>
      <c r="L44" s="88"/>
      <c r="M44" s="25"/>
      <c r="N44" s="20"/>
    </row>
    <row r="45" spans="2:14" ht="14.7" customHeight="1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4"/>
      <c r="L45" s="95"/>
      <c r="M45" s="38"/>
      <c r="N45" s="20"/>
    </row>
    <row r="46" spans="2:14" ht="16.2" x14ac:dyDescent="0.3">
      <c r="B46" s="20"/>
      <c r="C46" s="198" t="s">
        <v>410</v>
      </c>
      <c r="D46" s="198"/>
      <c r="E46" s="198"/>
      <c r="F46" s="198"/>
      <c r="G46" s="87" t="s">
        <v>58</v>
      </c>
      <c r="H46" s="140" t="s">
        <v>59</v>
      </c>
      <c r="I46" s="140" t="s">
        <v>60</v>
      </c>
      <c r="J46" s="140"/>
      <c r="K46" s="140"/>
      <c r="L46" s="88"/>
      <c r="M46" s="25"/>
      <c r="N46" s="20"/>
    </row>
    <row r="47" spans="2:14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94"/>
      <c r="K47" s="94"/>
      <c r="L47" s="95"/>
      <c r="M47" s="38"/>
      <c r="N47" s="20"/>
    </row>
    <row r="48" spans="2:14" ht="16.2" x14ac:dyDescent="0.3">
      <c r="B48" s="20"/>
      <c r="C48" s="198" t="s">
        <v>411</v>
      </c>
      <c r="D48" s="198"/>
      <c r="E48" s="198"/>
      <c r="F48" s="198"/>
      <c r="G48" s="87" t="s">
        <v>58</v>
      </c>
      <c r="H48" s="140" t="s">
        <v>59</v>
      </c>
      <c r="I48" s="140" t="s">
        <v>60</v>
      </c>
      <c r="J48" s="140"/>
      <c r="K48" s="140"/>
      <c r="L48" s="88"/>
      <c r="M48" s="25"/>
      <c r="N48" s="20"/>
    </row>
    <row r="49" spans="2:14" ht="14.7" customHeight="1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94"/>
      <c r="K49" s="94"/>
      <c r="L49" s="95"/>
      <c r="M49" s="38"/>
      <c r="N49" s="20"/>
    </row>
    <row r="50" spans="2:14" ht="50.1" customHeight="1" x14ac:dyDescent="0.3">
      <c r="B50" s="20"/>
      <c r="C50" s="198" t="s">
        <v>412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140"/>
      <c r="L50" s="88"/>
      <c r="M50" s="25"/>
      <c r="N50" s="20"/>
    </row>
    <row r="51" spans="2:14" ht="14.7" customHeight="1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94"/>
      <c r="K51" s="94"/>
      <c r="L51" s="95"/>
      <c r="M51" s="38"/>
      <c r="N51" s="20"/>
    </row>
    <row r="52" spans="2:14" s="33" customFormat="1" ht="32.4" x14ac:dyDescent="0.3">
      <c r="B52" s="27"/>
      <c r="C52" s="198" t="s">
        <v>413</v>
      </c>
      <c r="D52" s="198"/>
      <c r="E52" s="198"/>
      <c r="F52" s="198"/>
      <c r="G52" s="87" t="s">
        <v>58</v>
      </c>
      <c r="H52" s="84" t="s">
        <v>414</v>
      </c>
      <c r="I52" s="84" t="s">
        <v>415</v>
      </c>
      <c r="J52" s="84" t="s">
        <v>416</v>
      </c>
      <c r="K52" s="84" t="s">
        <v>417</v>
      </c>
      <c r="L52" s="98" t="s">
        <v>418</v>
      </c>
      <c r="M52" s="26"/>
      <c r="N52" s="27"/>
    </row>
    <row r="53" spans="2:14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82" t="b">
        <v>0</v>
      </c>
      <c r="K53" s="82" t="b">
        <v>0</v>
      </c>
      <c r="L53" s="91" t="b">
        <v>0</v>
      </c>
      <c r="M53" s="38"/>
      <c r="N53" s="20"/>
    </row>
    <row r="54" spans="2:14" ht="16.2" x14ac:dyDescent="0.3">
      <c r="B54" s="20"/>
      <c r="C54" s="198" t="s">
        <v>419</v>
      </c>
      <c r="D54" s="198"/>
      <c r="E54" s="198"/>
      <c r="F54" s="198"/>
      <c r="G54" s="87" t="s">
        <v>58</v>
      </c>
      <c r="H54" s="140" t="s">
        <v>59</v>
      </c>
      <c r="I54" s="140" t="s">
        <v>60</v>
      </c>
      <c r="J54" s="140"/>
      <c r="K54" s="140"/>
      <c r="L54" s="88"/>
      <c r="M54" s="25"/>
      <c r="N54" s="20"/>
    </row>
    <row r="55" spans="2:14" x14ac:dyDescent="0.3">
      <c r="B55" s="20"/>
      <c r="C55" s="198"/>
      <c r="D55" s="198"/>
      <c r="E55" s="198"/>
      <c r="F55" s="198"/>
      <c r="G55" s="89" t="b">
        <v>0</v>
      </c>
      <c r="H55" s="82" t="b">
        <v>0</v>
      </c>
      <c r="I55" s="82" t="b">
        <v>0</v>
      </c>
      <c r="J55" s="94"/>
      <c r="K55" s="94"/>
      <c r="L55" s="95"/>
      <c r="M55" s="38"/>
      <c r="N55" s="20"/>
    </row>
    <row r="56" spans="2:14" ht="16.2" x14ac:dyDescent="0.3">
      <c r="B56" s="20"/>
      <c r="C56" s="198" t="s">
        <v>420</v>
      </c>
      <c r="D56" s="198"/>
      <c r="E56" s="198"/>
      <c r="F56" s="198"/>
      <c r="G56" s="87" t="s">
        <v>58</v>
      </c>
      <c r="H56" s="140" t="s">
        <v>59</v>
      </c>
      <c r="I56" s="140" t="s">
        <v>60</v>
      </c>
      <c r="J56" s="140"/>
      <c r="K56" s="140"/>
      <c r="L56" s="88"/>
      <c r="M56" s="25"/>
      <c r="N56" s="20"/>
    </row>
    <row r="57" spans="2:14" ht="14.7" customHeight="1" x14ac:dyDescent="0.3">
      <c r="B57" s="20"/>
      <c r="C57" s="198"/>
      <c r="D57" s="198"/>
      <c r="E57" s="198"/>
      <c r="F57" s="198"/>
      <c r="G57" s="89" t="b">
        <v>0</v>
      </c>
      <c r="H57" s="82" t="b">
        <v>0</v>
      </c>
      <c r="I57" s="82" t="b">
        <v>0</v>
      </c>
      <c r="J57" s="94"/>
      <c r="K57" s="94"/>
      <c r="L57" s="95"/>
      <c r="M57" s="38"/>
      <c r="N57" s="20"/>
    </row>
    <row r="58" spans="2:14" ht="16.2" x14ac:dyDescent="0.3">
      <c r="B58" s="20"/>
      <c r="C58" s="197" t="s">
        <v>421</v>
      </c>
      <c r="D58" s="197"/>
      <c r="E58" s="197"/>
      <c r="F58" s="197"/>
      <c r="G58" s="87" t="s">
        <v>58</v>
      </c>
      <c r="H58" s="140">
        <v>0</v>
      </c>
      <c r="I58" s="140">
        <v>1</v>
      </c>
      <c r="J58" s="140">
        <v>2</v>
      </c>
      <c r="K58" s="140">
        <v>3</v>
      </c>
      <c r="L58" s="88"/>
      <c r="M58" s="25"/>
      <c r="N58" s="20"/>
    </row>
    <row r="59" spans="2:14" ht="14.7" customHeight="1" x14ac:dyDescent="0.3">
      <c r="B59" s="20"/>
      <c r="C59" s="197"/>
      <c r="D59" s="197"/>
      <c r="E59" s="197"/>
      <c r="F59" s="197"/>
      <c r="G59" s="89" t="b">
        <v>0</v>
      </c>
      <c r="H59" s="82" t="b">
        <v>0</v>
      </c>
      <c r="I59" s="82" t="b">
        <v>0</v>
      </c>
      <c r="J59" s="82" t="b">
        <v>0</v>
      </c>
      <c r="K59" s="82" t="b">
        <v>0</v>
      </c>
      <c r="L59" s="95"/>
      <c r="M59" s="38"/>
      <c r="N59" s="20"/>
    </row>
    <row r="60" spans="2:14" ht="16.2" x14ac:dyDescent="0.3">
      <c r="B60" s="20"/>
      <c r="C60" s="197" t="s">
        <v>422</v>
      </c>
      <c r="D60" s="197"/>
      <c r="E60" s="197"/>
      <c r="F60" s="197"/>
      <c r="G60" s="87" t="s">
        <v>58</v>
      </c>
      <c r="H60" s="140">
        <v>0</v>
      </c>
      <c r="I60" s="140">
        <v>1</v>
      </c>
      <c r="J60" s="140">
        <v>2</v>
      </c>
      <c r="K60" s="140">
        <v>3</v>
      </c>
      <c r="L60" s="88"/>
      <c r="M60" s="25"/>
      <c r="N60" s="20"/>
    </row>
    <row r="61" spans="2:14" ht="14.7" customHeight="1" x14ac:dyDescent="0.3">
      <c r="B61" s="20"/>
      <c r="C61" s="197"/>
      <c r="D61" s="197"/>
      <c r="E61" s="197"/>
      <c r="F61" s="197"/>
      <c r="G61" s="89" t="b">
        <v>0</v>
      </c>
      <c r="H61" s="82" t="b">
        <v>0</v>
      </c>
      <c r="I61" s="82" t="b">
        <v>0</v>
      </c>
      <c r="J61" s="82" t="b">
        <v>0</v>
      </c>
      <c r="K61" s="82" t="b">
        <v>0</v>
      </c>
      <c r="L61" s="95"/>
      <c r="M61" s="38"/>
      <c r="N61" s="20"/>
    </row>
    <row r="62" spans="2:14" x14ac:dyDescent="0.3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2:14" x14ac:dyDescent="0.3">
      <c r="B63" s="29"/>
      <c r="C63" s="29"/>
      <c r="D63" s="29"/>
      <c r="E63" s="29"/>
      <c r="F63" s="31"/>
      <c r="G63" s="31"/>
      <c r="H63" s="31"/>
      <c r="I63" s="30"/>
      <c r="J63" s="30"/>
      <c r="K63" s="30"/>
      <c r="L63" s="30"/>
      <c r="M63" s="30"/>
      <c r="N63" s="30"/>
    </row>
    <row r="64" spans="2:14" x14ac:dyDescent="0.3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2:14" x14ac:dyDescent="0.3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2:14" x14ac:dyDescent="0.3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 x14ac:dyDescent="0.3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</sheetData>
  <sheetProtection sheet="1" objects="1" scenarios="1"/>
  <mergeCells count="27">
    <mergeCell ref="C52:F53"/>
    <mergeCell ref="C54:F55"/>
    <mergeCell ref="C56:F57"/>
    <mergeCell ref="C58:F59"/>
    <mergeCell ref="C60:F61"/>
    <mergeCell ref="C50:F51"/>
    <mergeCell ref="C48:F49"/>
    <mergeCell ref="C27:F28"/>
    <mergeCell ref="C29:F30"/>
    <mergeCell ref="C31:F32"/>
    <mergeCell ref="C33:F34"/>
    <mergeCell ref="C35:F36"/>
    <mergeCell ref="C37:F38"/>
    <mergeCell ref="C39:F40"/>
    <mergeCell ref="C41:F42"/>
    <mergeCell ref="C44:F45"/>
    <mergeCell ref="C46:F47"/>
    <mergeCell ref="C18:F19"/>
    <mergeCell ref="C20:F21"/>
    <mergeCell ref="C22:F23"/>
    <mergeCell ref="C24:F25"/>
    <mergeCell ref="F3:K5"/>
    <mergeCell ref="C8:I8"/>
    <mergeCell ref="C10:F11"/>
    <mergeCell ref="C12:F13"/>
    <mergeCell ref="C14:F15"/>
    <mergeCell ref="C16:F17"/>
  </mergeCells>
  <phoneticPr fontId="9" type="noConversion"/>
  <conditionalFormatting sqref="C12">
    <cfRule type="expression" dxfId="205" priority="29">
      <formula>AND($G$13:$K$13=FALSE)</formula>
    </cfRule>
  </conditionalFormatting>
  <conditionalFormatting sqref="C14">
    <cfRule type="expression" dxfId="204" priority="27">
      <formula>AND($G$15:$K$15=FALSE)</formula>
    </cfRule>
  </conditionalFormatting>
  <conditionalFormatting sqref="C16">
    <cfRule type="expression" dxfId="203" priority="26">
      <formula>AND($G$17:$K$17=FALSE)</formula>
    </cfRule>
  </conditionalFormatting>
  <conditionalFormatting sqref="C18">
    <cfRule type="expression" dxfId="202" priority="24">
      <formula>AND($G$19:$K$19=FALSE)</formula>
    </cfRule>
  </conditionalFormatting>
  <conditionalFormatting sqref="C20">
    <cfRule type="expression" dxfId="201" priority="23">
      <formula>AND($G$21:$K$21=FALSE)</formula>
    </cfRule>
  </conditionalFormatting>
  <conditionalFormatting sqref="C22">
    <cfRule type="expression" dxfId="200" priority="20">
      <formula>AND($G$23:$K$23=FALSE)</formula>
    </cfRule>
  </conditionalFormatting>
  <conditionalFormatting sqref="C27">
    <cfRule type="expression" dxfId="199" priority="21">
      <formula>AND($G$28:$K$28=FALSE)</formula>
    </cfRule>
  </conditionalFormatting>
  <conditionalFormatting sqref="C29">
    <cfRule type="expression" dxfId="198" priority="18">
      <formula>AND($G$30:$K$30=FALSE)</formula>
    </cfRule>
  </conditionalFormatting>
  <conditionalFormatting sqref="C31">
    <cfRule type="expression" dxfId="197" priority="16">
      <formula>AND($G$32:$K$32=FALSE)</formula>
    </cfRule>
  </conditionalFormatting>
  <conditionalFormatting sqref="C33">
    <cfRule type="expression" dxfId="196" priority="15">
      <formula>AND($G$34:$K$34=FALSE)</formula>
    </cfRule>
  </conditionalFormatting>
  <conditionalFormatting sqref="C35">
    <cfRule type="expression" dxfId="195" priority="14">
      <formula>AND($G$36:$K$36=FALSE)</formula>
    </cfRule>
  </conditionalFormatting>
  <conditionalFormatting sqref="C37">
    <cfRule type="expression" dxfId="194" priority="13">
      <formula>AND($G$38:$K$38=FALSE)</formula>
    </cfRule>
  </conditionalFormatting>
  <conditionalFormatting sqref="C39">
    <cfRule type="expression" dxfId="193" priority="12">
      <formula>AND($G$40:$K$40=FALSE)</formula>
    </cfRule>
  </conditionalFormatting>
  <conditionalFormatting sqref="C41">
    <cfRule type="expression" dxfId="192" priority="11">
      <formula>AND($G$42:$K$42=FALSE)</formula>
    </cfRule>
  </conditionalFormatting>
  <conditionalFormatting sqref="C44">
    <cfRule type="expression" dxfId="191" priority="10">
      <formula>AND($G$45:$K$45=FALSE)</formula>
    </cfRule>
  </conditionalFormatting>
  <conditionalFormatting sqref="C46">
    <cfRule type="expression" dxfId="190" priority="9">
      <formula>AND($G$47:$K$47=FALSE)</formula>
    </cfRule>
  </conditionalFormatting>
  <conditionalFormatting sqref="C48">
    <cfRule type="expression" dxfId="189" priority="1">
      <formula>AND($G$49:$K$49=FALSE)</formula>
    </cfRule>
  </conditionalFormatting>
  <conditionalFormatting sqref="C50">
    <cfRule type="expression" dxfId="188" priority="8">
      <formula>AND($G$51:$K$51=FALSE)</formula>
    </cfRule>
  </conditionalFormatting>
  <conditionalFormatting sqref="C52">
    <cfRule type="expression" dxfId="187" priority="7">
      <formula>AND($G$53:$L$53=FALSE)</formula>
    </cfRule>
  </conditionalFormatting>
  <conditionalFormatting sqref="C54">
    <cfRule type="expression" dxfId="186" priority="6">
      <formula>AND($G$55:$K$55=FALSE)</formula>
    </cfRule>
  </conditionalFormatting>
  <conditionalFormatting sqref="C56">
    <cfRule type="expression" dxfId="185" priority="5">
      <formula>AND($G$57:$K$57=FALSE)</formula>
    </cfRule>
  </conditionalFormatting>
  <conditionalFormatting sqref="C58">
    <cfRule type="expression" dxfId="184" priority="4">
      <formula>AND($G$59:$K$59=FALSE)</formula>
    </cfRule>
  </conditionalFormatting>
  <conditionalFormatting sqref="C60">
    <cfRule type="expression" dxfId="183" priority="3">
      <formula>AND($G$61:$K$61=FALSE)</formula>
    </cfRule>
  </conditionalFormatting>
  <conditionalFormatting sqref="C10:F11">
    <cfRule type="expression" dxfId="182" priority="28">
      <formula>AND($G$11:$M$11=FALSE)</formula>
    </cfRule>
  </conditionalFormatting>
  <conditionalFormatting sqref="C24:F25">
    <cfRule type="expression" dxfId="181" priority="22">
      <formula>AND($G$25:$K$25=FALSE)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B090-B643-4B25-871D-797819D49C9A}">
  <sheetPr codeName="Feuil29"/>
  <dimension ref="B2:M69"/>
  <sheetViews>
    <sheetView showGridLines="0" tabSelected="1" showWhiteSpace="0" view="pageBreakPreview" topLeftCell="A41" zoomScaleNormal="11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423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424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0" customHeight="1" x14ac:dyDescent="0.3">
      <c r="B10" s="20"/>
      <c r="C10" s="198" t="s">
        <v>425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426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427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428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429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31.35" customHeight="1" x14ac:dyDescent="0.3">
      <c r="B20" s="20"/>
      <c r="C20" s="198" t="s">
        <v>430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2" x14ac:dyDescent="0.3">
      <c r="B22" s="20"/>
      <c r="C22" s="198" t="s">
        <v>431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16.2" x14ac:dyDescent="0.3">
      <c r="B24" s="20"/>
      <c r="C24" s="198" t="s">
        <v>432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16.2" x14ac:dyDescent="0.3">
      <c r="B26" s="20"/>
      <c r="C26" s="198" t="s">
        <v>433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434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94"/>
      <c r="K29" s="95"/>
      <c r="L29" s="20"/>
    </row>
    <row r="30" spans="2:12" ht="16.2" x14ac:dyDescent="0.3">
      <c r="B30" s="20"/>
      <c r="C30" s="198" t="s">
        <v>435</v>
      </c>
      <c r="D30" s="198"/>
      <c r="E30" s="198"/>
      <c r="F30" s="198"/>
      <c r="G30" s="87" t="s">
        <v>58</v>
      </c>
      <c r="H30" s="140" t="s">
        <v>59</v>
      </c>
      <c r="I30" s="140" t="s">
        <v>60</v>
      </c>
      <c r="J30" s="140"/>
      <c r="K30" s="88"/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94"/>
      <c r="K31" s="95"/>
      <c r="L31" s="20"/>
    </row>
    <row r="32" spans="2:12" ht="16.2" x14ac:dyDescent="0.3">
      <c r="B32" s="20"/>
      <c r="C32" s="198" t="s">
        <v>436</v>
      </c>
      <c r="D32" s="198"/>
      <c r="E32" s="198"/>
      <c r="F32" s="198"/>
      <c r="G32" s="87" t="s">
        <v>58</v>
      </c>
      <c r="H32" s="140">
        <v>0</v>
      </c>
      <c r="I32" s="140">
        <v>1</v>
      </c>
      <c r="J32" s="140">
        <v>2</v>
      </c>
      <c r="K32" s="88">
        <v>3</v>
      </c>
      <c r="L32" s="20"/>
    </row>
    <row r="33" spans="2:12" x14ac:dyDescent="0.3">
      <c r="B33" s="20"/>
      <c r="C33" s="198"/>
      <c r="D33" s="198"/>
      <c r="E33" s="198"/>
      <c r="F33" s="198"/>
      <c r="G33" s="89" t="b">
        <v>0</v>
      </c>
      <c r="H33" s="82" t="b">
        <v>0</v>
      </c>
      <c r="I33" s="82" t="b">
        <v>0</v>
      </c>
      <c r="J33" s="82" t="b">
        <v>0</v>
      </c>
      <c r="K33" s="91" t="b">
        <v>0</v>
      </c>
      <c r="L33" s="20"/>
    </row>
    <row r="34" spans="2:12" ht="16.2" x14ac:dyDescent="0.3">
      <c r="B34" s="20"/>
      <c r="C34" s="198" t="s">
        <v>437</v>
      </c>
      <c r="D34" s="198"/>
      <c r="E34" s="198"/>
      <c r="F34" s="198"/>
      <c r="G34" s="87" t="s">
        <v>58</v>
      </c>
      <c r="H34" s="140">
        <v>0</v>
      </c>
      <c r="I34" s="140">
        <v>1</v>
      </c>
      <c r="J34" s="140">
        <v>2</v>
      </c>
      <c r="K34" s="88">
        <v>3</v>
      </c>
      <c r="L34" s="20"/>
    </row>
    <row r="35" spans="2:12" x14ac:dyDescent="0.3">
      <c r="B35" s="20"/>
      <c r="C35" s="198"/>
      <c r="D35" s="198"/>
      <c r="E35" s="198"/>
      <c r="F35" s="198"/>
      <c r="G35" s="89" t="b">
        <v>0</v>
      </c>
      <c r="H35" s="82" t="b">
        <v>0</v>
      </c>
      <c r="I35" s="82" t="b">
        <v>0</v>
      </c>
      <c r="J35" s="82" t="b">
        <v>0</v>
      </c>
      <c r="K35" s="91" t="b">
        <v>0</v>
      </c>
      <c r="L35" s="20"/>
    </row>
    <row r="36" spans="2:12" ht="24" customHeight="1" x14ac:dyDescent="0.4">
      <c r="B36" s="20"/>
      <c r="C36" s="22" t="s">
        <v>438</v>
      </c>
      <c r="D36" s="22"/>
      <c r="E36" s="22"/>
      <c r="F36" s="20"/>
      <c r="G36" s="20"/>
      <c r="H36" s="20"/>
      <c r="I36" s="20"/>
      <c r="J36" s="21"/>
      <c r="K36" s="21"/>
      <c r="L36" s="20"/>
    </row>
    <row r="37" spans="2:12" ht="16.2" x14ac:dyDescent="0.3">
      <c r="B37" s="20"/>
      <c r="C37" s="198" t="s">
        <v>439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20"/>
    </row>
    <row r="39" spans="2:12" ht="31.35" customHeight="1" x14ac:dyDescent="0.3">
      <c r="B39" s="20"/>
      <c r="C39" s="198" t="s">
        <v>440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0"/>
    </row>
    <row r="40" spans="2:12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94"/>
      <c r="K40" s="95"/>
      <c r="L40" s="20"/>
    </row>
    <row r="41" spans="2:12" ht="16.2" x14ac:dyDescent="0.3">
      <c r="B41" s="20"/>
      <c r="C41" s="197" t="s">
        <v>441</v>
      </c>
      <c r="D41" s="197"/>
      <c r="E41" s="197"/>
      <c r="F41" s="197"/>
      <c r="G41" s="87" t="s">
        <v>58</v>
      </c>
      <c r="H41" s="140">
        <v>0</v>
      </c>
      <c r="I41" s="140">
        <v>1</v>
      </c>
      <c r="J41" s="140">
        <v>2</v>
      </c>
      <c r="K41" s="88">
        <v>3</v>
      </c>
      <c r="L41" s="20"/>
    </row>
    <row r="42" spans="2:12" ht="14.7" customHeight="1" x14ac:dyDescent="0.3">
      <c r="B42" s="20"/>
      <c r="C42" s="197"/>
      <c r="D42" s="197"/>
      <c r="E42" s="197"/>
      <c r="F42" s="197"/>
      <c r="G42" s="89" t="b">
        <v>0</v>
      </c>
      <c r="H42" s="82" t="b">
        <v>0</v>
      </c>
      <c r="I42" s="82" t="b">
        <v>0</v>
      </c>
      <c r="J42" s="82" t="b">
        <v>0</v>
      </c>
      <c r="K42" s="91" t="b">
        <v>0</v>
      </c>
      <c r="L42" s="20"/>
    </row>
    <row r="43" spans="2:12" ht="16.2" x14ac:dyDescent="0.3">
      <c r="B43" s="20"/>
      <c r="C43" s="198" t="s">
        <v>442</v>
      </c>
      <c r="D43" s="198"/>
      <c r="E43" s="198"/>
      <c r="F43" s="198"/>
      <c r="G43" s="87" t="s">
        <v>58</v>
      </c>
      <c r="H43" s="140">
        <v>0</v>
      </c>
      <c r="I43" s="140">
        <v>1</v>
      </c>
      <c r="J43" s="140">
        <v>2</v>
      </c>
      <c r="K43" s="88">
        <v>3</v>
      </c>
      <c r="L43" s="20"/>
    </row>
    <row r="44" spans="2:12" ht="14.7" customHeight="1" x14ac:dyDescent="0.3">
      <c r="B44" s="20"/>
      <c r="C44" s="198"/>
      <c r="D44" s="198"/>
      <c r="E44" s="198"/>
      <c r="F44" s="198"/>
      <c r="G44" s="89" t="b">
        <v>0</v>
      </c>
      <c r="H44" s="82" t="b">
        <v>0</v>
      </c>
      <c r="I44" s="82" t="b">
        <v>0</v>
      </c>
      <c r="J44" s="82" t="b">
        <v>0</v>
      </c>
      <c r="K44" s="91" t="b">
        <v>0</v>
      </c>
      <c r="L44" s="20"/>
    </row>
    <row r="45" spans="2:12" ht="24" customHeight="1" x14ac:dyDescent="0.4">
      <c r="B45" s="20"/>
      <c r="C45" s="22" t="s">
        <v>443</v>
      </c>
      <c r="D45" s="22"/>
      <c r="E45" s="22"/>
      <c r="F45" s="20"/>
      <c r="G45" s="20"/>
      <c r="H45" s="20"/>
      <c r="I45" s="20"/>
      <c r="J45" s="21"/>
      <c r="K45" s="21"/>
      <c r="L45" s="20"/>
    </row>
    <row r="46" spans="2:12" ht="16.2" x14ac:dyDescent="0.3">
      <c r="B46" s="20"/>
      <c r="C46" s="198" t="s">
        <v>444</v>
      </c>
      <c r="D46" s="198"/>
      <c r="E46" s="198"/>
      <c r="F46" s="198"/>
      <c r="G46" s="87" t="s">
        <v>58</v>
      </c>
      <c r="H46" s="140" t="s">
        <v>59</v>
      </c>
      <c r="I46" s="140" t="s">
        <v>60</v>
      </c>
      <c r="J46" s="140"/>
      <c r="K46" s="88"/>
      <c r="L46" s="20"/>
    </row>
    <row r="47" spans="2:12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94"/>
      <c r="K47" s="95"/>
      <c r="L47" s="20"/>
    </row>
    <row r="48" spans="2:12" ht="16.2" x14ac:dyDescent="0.3">
      <c r="B48" s="20"/>
      <c r="C48" s="198" t="s">
        <v>445</v>
      </c>
      <c r="D48" s="198"/>
      <c r="E48" s="198"/>
      <c r="F48" s="198"/>
      <c r="G48" s="87" t="s">
        <v>58</v>
      </c>
      <c r="H48" s="140" t="s">
        <v>59</v>
      </c>
      <c r="I48" s="140" t="s">
        <v>60</v>
      </c>
      <c r="J48" s="140"/>
      <c r="K48" s="88"/>
      <c r="L48" s="20"/>
    </row>
    <row r="49" spans="2:12" ht="14.7" customHeight="1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94"/>
      <c r="K49" s="95"/>
      <c r="L49" s="20"/>
    </row>
    <row r="50" spans="2:12" ht="16.2" x14ac:dyDescent="0.3">
      <c r="B50" s="20"/>
      <c r="C50" s="198" t="s">
        <v>446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88"/>
      <c r="L50" s="20"/>
    </row>
    <row r="51" spans="2:12" ht="14.7" customHeight="1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94"/>
      <c r="K51" s="95"/>
      <c r="L51" s="20"/>
    </row>
    <row r="52" spans="2:12" ht="16.2" x14ac:dyDescent="0.3">
      <c r="B52" s="20"/>
      <c r="C52" s="198" t="s">
        <v>447</v>
      </c>
      <c r="D52" s="198"/>
      <c r="E52" s="198"/>
      <c r="F52" s="198"/>
      <c r="G52" s="87" t="s">
        <v>58</v>
      </c>
      <c r="H52" s="140" t="s">
        <v>59</v>
      </c>
      <c r="I52" s="140" t="s">
        <v>60</v>
      </c>
      <c r="J52" s="140"/>
      <c r="K52" s="88"/>
      <c r="L52" s="20"/>
    </row>
    <row r="53" spans="2:12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94"/>
      <c r="K53" s="95"/>
      <c r="L53" s="20"/>
    </row>
    <row r="54" spans="2:12" ht="16.2" x14ac:dyDescent="0.3">
      <c r="B54" s="20"/>
      <c r="C54" s="198" t="s">
        <v>448</v>
      </c>
      <c r="D54" s="198"/>
      <c r="E54" s="198"/>
      <c r="F54" s="198"/>
      <c r="G54" s="87" t="s">
        <v>58</v>
      </c>
      <c r="H54" s="140" t="s">
        <v>59</v>
      </c>
      <c r="I54" s="140" t="s">
        <v>60</v>
      </c>
      <c r="J54" s="140"/>
      <c r="K54" s="88"/>
      <c r="L54" s="20"/>
    </row>
    <row r="55" spans="2:12" x14ac:dyDescent="0.3">
      <c r="B55" s="20"/>
      <c r="C55" s="198"/>
      <c r="D55" s="198"/>
      <c r="E55" s="198"/>
      <c r="F55" s="198"/>
      <c r="G55" s="89" t="b">
        <v>0</v>
      </c>
      <c r="H55" s="82" t="b">
        <v>0</v>
      </c>
      <c r="I55" s="82" t="b">
        <v>0</v>
      </c>
      <c r="J55" s="94"/>
      <c r="K55" s="95"/>
      <c r="L55" s="20"/>
    </row>
    <row r="56" spans="2:12" ht="16.2" x14ac:dyDescent="0.3">
      <c r="B56" s="20"/>
      <c r="C56" s="198" t="s">
        <v>449</v>
      </c>
      <c r="D56" s="198"/>
      <c r="E56" s="198"/>
      <c r="F56" s="198"/>
      <c r="G56" s="87" t="s">
        <v>58</v>
      </c>
      <c r="H56" s="140" t="s">
        <v>59</v>
      </c>
      <c r="I56" s="140" t="s">
        <v>60</v>
      </c>
      <c r="J56" s="140"/>
      <c r="K56" s="88"/>
      <c r="L56" s="20"/>
    </row>
    <row r="57" spans="2:12" ht="14.7" customHeight="1" x14ac:dyDescent="0.3">
      <c r="B57" s="20"/>
      <c r="C57" s="198"/>
      <c r="D57" s="198"/>
      <c r="E57" s="198"/>
      <c r="F57" s="198"/>
      <c r="G57" s="89" t="b">
        <v>0</v>
      </c>
      <c r="H57" s="82" t="b">
        <v>0</v>
      </c>
      <c r="I57" s="82" t="b">
        <v>0</v>
      </c>
      <c r="J57" s="94"/>
      <c r="K57" s="95"/>
      <c r="L57" s="20"/>
    </row>
    <row r="58" spans="2:12" ht="16.2" x14ac:dyDescent="0.3">
      <c r="B58" s="20"/>
      <c r="C58" s="197" t="s">
        <v>450</v>
      </c>
      <c r="D58" s="197"/>
      <c r="E58" s="197"/>
      <c r="F58" s="197"/>
      <c r="G58" s="87" t="s">
        <v>58</v>
      </c>
      <c r="H58" s="140" t="s">
        <v>59</v>
      </c>
      <c r="I58" s="140" t="s">
        <v>60</v>
      </c>
      <c r="J58" s="140"/>
      <c r="K58" s="88"/>
      <c r="L58" s="20"/>
    </row>
    <row r="59" spans="2:12" ht="14.7" customHeight="1" x14ac:dyDescent="0.3">
      <c r="B59" s="20"/>
      <c r="C59" s="197"/>
      <c r="D59" s="197"/>
      <c r="E59" s="197"/>
      <c r="F59" s="197"/>
      <c r="G59" s="89" t="b">
        <v>0</v>
      </c>
      <c r="H59" s="82" t="b">
        <v>0</v>
      </c>
      <c r="I59" s="82" t="b">
        <v>0</v>
      </c>
      <c r="J59" s="94"/>
      <c r="K59" s="95"/>
      <c r="L59" s="20"/>
    </row>
    <row r="60" spans="2:12" ht="16.2" x14ac:dyDescent="0.3">
      <c r="B60" s="20"/>
      <c r="C60" s="197" t="s">
        <v>451</v>
      </c>
      <c r="D60" s="197"/>
      <c r="E60" s="197"/>
      <c r="F60" s="197"/>
      <c r="G60" s="87" t="s">
        <v>58</v>
      </c>
      <c r="H60" s="140">
        <v>0</v>
      </c>
      <c r="I60" s="140">
        <v>1</v>
      </c>
      <c r="J60" s="140">
        <v>2</v>
      </c>
      <c r="K60" s="88">
        <v>3</v>
      </c>
      <c r="L60" s="20"/>
    </row>
    <row r="61" spans="2:12" ht="14.7" customHeight="1" x14ac:dyDescent="0.3">
      <c r="B61" s="20"/>
      <c r="C61" s="197"/>
      <c r="D61" s="197"/>
      <c r="E61" s="197"/>
      <c r="F61" s="197"/>
      <c r="G61" s="89" t="b">
        <v>0</v>
      </c>
      <c r="H61" s="82" t="b">
        <v>0</v>
      </c>
      <c r="I61" s="82" t="b">
        <v>0</v>
      </c>
      <c r="J61" s="82" t="b">
        <v>0</v>
      </c>
      <c r="K61" s="91" t="b">
        <v>0</v>
      </c>
      <c r="L61" s="20"/>
    </row>
    <row r="62" spans="2:12" ht="16.2" x14ac:dyDescent="0.3">
      <c r="B62" s="20"/>
      <c r="C62" s="197" t="s">
        <v>451</v>
      </c>
      <c r="D62" s="197"/>
      <c r="E62" s="197"/>
      <c r="F62" s="197"/>
      <c r="G62" s="87" t="s">
        <v>58</v>
      </c>
      <c r="H62" s="140">
        <v>0</v>
      </c>
      <c r="I62" s="140">
        <v>1</v>
      </c>
      <c r="J62" s="140">
        <v>2</v>
      </c>
      <c r="K62" s="88">
        <v>3</v>
      </c>
      <c r="L62" s="20"/>
    </row>
    <row r="63" spans="2:12" ht="14.7" customHeight="1" x14ac:dyDescent="0.3">
      <c r="B63" s="20"/>
      <c r="C63" s="197"/>
      <c r="D63" s="197"/>
      <c r="E63" s="197"/>
      <c r="F63" s="197"/>
      <c r="G63" s="89" t="b">
        <v>0</v>
      </c>
      <c r="H63" s="82" t="b">
        <v>0</v>
      </c>
      <c r="I63" s="82" t="b">
        <v>0</v>
      </c>
      <c r="J63" s="82" t="b">
        <v>0</v>
      </c>
      <c r="K63" s="91" t="b">
        <v>0</v>
      </c>
      <c r="L63" s="20"/>
    </row>
    <row r="64" spans="2:12" x14ac:dyDescent="0.3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2" x14ac:dyDescent="0.3">
      <c r="B65" s="29"/>
      <c r="C65" s="29"/>
      <c r="D65" s="29"/>
      <c r="E65" s="29"/>
      <c r="F65" s="31"/>
      <c r="G65" s="31"/>
      <c r="H65" s="31"/>
      <c r="I65" s="30"/>
      <c r="J65" s="30"/>
      <c r="K65" s="30"/>
      <c r="L65" s="30"/>
    </row>
    <row r="66" spans="2:12" x14ac:dyDescent="0.3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2:12" x14ac:dyDescent="0.3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2:12" x14ac:dyDescent="0.3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2:12" x14ac:dyDescent="0.3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</sheetData>
  <sheetProtection sheet="1" objects="1" scenarios="1"/>
  <mergeCells count="28">
    <mergeCell ref="C56:F57"/>
    <mergeCell ref="C58:F59"/>
    <mergeCell ref="C60:F61"/>
    <mergeCell ref="C62:F63"/>
    <mergeCell ref="C43:F44"/>
    <mergeCell ref="C46:F47"/>
    <mergeCell ref="C48:F49"/>
    <mergeCell ref="C50:F51"/>
    <mergeCell ref="C52:F53"/>
    <mergeCell ref="C54:F55"/>
    <mergeCell ref="C41:F42"/>
    <mergeCell ref="C18:F19"/>
    <mergeCell ref="C20:F21"/>
    <mergeCell ref="C22:F23"/>
    <mergeCell ref="C24:F25"/>
    <mergeCell ref="C26:F27"/>
    <mergeCell ref="C28:F29"/>
    <mergeCell ref="C30:F31"/>
    <mergeCell ref="C32:F33"/>
    <mergeCell ref="C34:F35"/>
    <mergeCell ref="C37:F38"/>
    <mergeCell ref="C39:F40"/>
    <mergeCell ref="C16:F17"/>
    <mergeCell ref="F3:K5"/>
    <mergeCell ref="C8:I8"/>
    <mergeCell ref="C10:F11"/>
    <mergeCell ref="C12:F13"/>
    <mergeCell ref="C14:F15"/>
  </mergeCells>
  <conditionalFormatting sqref="C12">
    <cfRule type="expression" dxfId="180" priority="26">
      <formula>AND($G$13:$K$13=FALSE)</formula>
    </cfRule>
  </conditionalFormatting>
  <conditionalFormatting sqref="C14">
    <cfRule type="expression" dxfId="179" priority="24">
      <formula>AND($G$15:$K$15=FALSE)</formula>
    </cfRule>
  </conditionalFormatting>
  <conditionalFormatting sqref="C16">
    <cfRule type="expression" dxfId="178" priority="23">
      <formula>AND($G$17:$K$17=FALSE)</formula>
    </cfRule>
  </conditionalFormatting>
  <conditionalFormatting sqref="C18">
    <cfRule type="expression" dxfId="177" priority="22">
      <formula>AND($G$19:$K$19=FALSE)</formula>
    </cfRule>
  </conditionalFormatting>
  <conditionalFormatting sqref="C20">
    <cfRule type="expression" dxfId="176" priority="21">
      <formula>AND($G$21:$K$21=FALSE)</formula>
    </cfRule>
  </conditionalFormatting>
  <conditionalFormatting sqref="C22">
    <cfRule type="expression" dxfId="175" priority="18">
      <formula>AND($G$23:$K$23=FALSE)</formula>
    </cfRule>
  </conditionalFormatting>
  <conditionalFormatting sqref="C26">
    <cfRule type="expression" dxfId="174" priority="19">
      <formula>AND($G$27:$K$27=FALSE)</formula>
    </cfRule>
  </conditionalFormatting>
  <conditionalFormatting sqref="C28">
    <cfRule type="expression" dxfId="173" priority="17">
      <formula>AND($G$29:$K$29=FALSE)</formula>
    </cfRule>
  </conditionalFormatting>
  <conditionalFormatting sqref="C30">
    <cfRule type="expression" dxfId="172" priority="16">
      <formula>AND($G$31:$K$31=FALSE)</formula>
    </cfRule>
  </conditionalFormatting>
  <conditionalFormatting sqref="C32">
    <cfRule type="expression" dxfId="171" priority="15">
      <formula>AND($G$33:$K$33=FALSE)</formula>
    </cfRule>
  </conditionalFormatting>
  <conditionalFormatting sqref="C34">
    <cfRule type="expression" dxfId="170" priority="14">
      <formula>AND($G$35:$K$35=FALSE)</formula>
    </cfRule>
  </conditionalFormatting>
  <conditionalFormatting sqref="C37">
    <cfRule type="expression" dxfId="169" priority="13">
      <formula>AND($G$38:$K$38=FALSE)</formula>
    </cfRule>
  </conditionalFormatting>
  <conditionalFormatting sqref="C39">
    <cfRule type="expression" dxfId="168" priority="12">
      <formula>AND($G$40:$K$40=FALSE)</formula>
    </cfRule>
  </conditionalFormatting>
  <conditionalFormatting sqref="C41">
    <cfRule type="expression" dxfId="167" priority="11">
      <formula>AND($G$42:$K$42=FALSE)</formula>
    </cfRule>
  </conditionalFormatting>
  <conditionalFormatting sqref="C43">
    <cfRule type="expression" dxfId="166" priority="10">
      <formula>AND($G$44:$K$44=FALSE)</formula>
    </cfRule>
  </conditionalFormatting>
  <conditionalFormatting sqref="C46">
    <cfRule type="expression" dxfId="165" priority="9">
      <formula>AND($G$47:$K$47=FALSE)</formula>
    </cfRule>
  </conditionalFormatting>
  <conditionalFormatting sqref="C48">
    <cfRule type="expression" dxfId="164" priority="2">
      <formula>AND($G$49:$K$49=FALSE)</formula>
    </cfRule>
  </conditionalFormatting>
  <conditionalFormatting sqref="C50">
    <cfRule type="expression" dxfId="163" priority="8">
      <formula>AND($G$51:$K$51=FALSE)</formula>
    </cfRule>
  </conditionalFormatting>
  <conditionalFormatting sqref="C52">
    <cfRule type="expression" dxfId="162" priority="7">
      <formula>AND($G$53:$K$53=FALSE)</formula>
    </cfRule>
  </conditionalFormatting>
  <conditionalFormatting sqref="C54">
    <cfRule type="expression" dxfId="161" priority="6">
      <formula>AND($G$55:$K$55=FALSE)</formula>
    </cfRule>
  </conditionalFormatting>
  <conditionalFormatting sqref="C56">
    <cfRule type="expression" dxfId="160" priority="5">
      <formula>AND($G$57:$K$57=FALSE)</formula>
    </cfRule>
  </conditionalFormatting>
  <conditionalFormatting sqref="C58">
    <cfRule type="expression" dxfId="159" priority="4">
      <formula>AND($G$59:$K$59=FALSE)</formula>
    </cfRule>
  </conditionalFormatting>
  <conditionalFormatting sqref="C60">
    <cfRule type="expression" dxfId="158" priority="3">
      <formula>AND($G$61:$K$61=FALSE)</formula>
    </cfRule>
  </conditionalFormatting>
  <conditionalFormatting sqref="C62">
    <cfRule type="expression" dxfId="157" priority="1">
      <formula>AND($G$63:$K$63=FALSE)</formula>
    </cfRule>
  </conditionalFormatting>
  <conditionalFormatting sqref="C10:F11">
    <cfRule type="expression" dxfId="156" priority="25">
      <formula>AND($G$11:$I$11=FALSE)</formula>
    </cfRule>
  </conditionalFormatting>
  <conditionalFormatting sqref="C24:F25">
    <cfRule type="expression" dxfId="155" priority="20">
      <formula>AND($G$25:$K$25=FALSE)</formula>
    </cfRule>
  </conditionalFormatting>
  <pageMargins left="0.7" right="0.7" top="0.75" bottom="0.75" header="0.3" footer="0.3"/>
  <pageSetup paperSize="9"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9DEC-C7E8-468B-8DE5-272D92F21FBC}">
  <sheetPr codeName="Feuil30"/>
  <dimension ref="B2:M65"/>
  <sheetViews>
    <sheetView showGridLines="0" tabSelected="1" showWhiteSpace="0" view="pageBreakPreview" topLeftCell="A42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452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453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0" customHeight="1" x14ac:dyDescent="0.3">
      <c r="B10" s="20"/>
      <c r="C10" s="198" t="s">
        <v>454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455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456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457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458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2" x14ac:dyDescent="0.3">
      <c r="B20" s="20"/>
      <c r="C20" s="198" t="s">
        <v>459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2" x14ac:dyDescent="0.3">
      <c r="B22" s="20"/>
      <c r="C22" s="198" t="s">
        <v>460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16.2" x14ac:dyDescent="0.3">
      <c r="B24" s="20"/>
      <c r="C24" s="198" t="s">
        <v>461</v>
      </c>
      <c r="D24" s="198"/>
      <c r="E24" s="198"/>
      <c r="F24" s="198"/>
      <c r="G24" s="87" t="s">
        <v>58</v>
      </c>
      <c r="H24" s="140">
        <v>0</v>
      </c>
      <c r="I24" s="140">
        <v>1</v>
      </c>
      <c r="J24" s="140">
        <v>2</v>
      </c>
      <c r="K24" s="88">
        <v>3</v>
      </c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82" t="b">
        <v>0</v>
      </c>
      <c r="K25" s="91" t="b">
        <v>0</v>
      </c>
      <c r="L25" s="20"/>
    </row>
    <row r="26" spans="2:12" ht="16.2" x14ac:dyDescent="0.3">
      <c r="B26" s="20"/>
      <c r="C26" s="198" t="s">
        <v>462</v>
      </c>
      <c r="D26" s="198"/>
      <c r="E26" s="198"/>
      <c r="F26" s="198"/>
      <c r="G26" s="87" t="s">
        <v>58</v>
      </c>
      <c r="H26" s="140">
        <v>0</v>
      </c>
      <c r="I26" s="140">
        <v>1</v>
      </c>
      <c r="J26" s="140">
        <v>2</v>
      </c>
      <c r="K26" s="88">
        <v>3</v>
      </c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82" t="b">
        <v>0</v>
      </c>
      <c r="K27" s="91" t="b">
        <v>0</v>
      </c>
      <c r="L27" s="20"/>
    </row>
    <row r="28" spans="2:12" ht="24" customHeight="1" x14ac:dyDescent="0.4">
      <c r="B28" s="20"/>
      <c r="C28" s="22" t="s">
        <v>463</v>
      </c>
      <c r="D28" s="22"/>
      <c r="E28" s="22"/>
      <c r="F28" s="20"/>
      <c r="G28" s="20"/>
      <c r="H28" s="20"/>
      <c r="I28" s="20"/>
      <c r="J28" s="21"/>
      <c r="K28" s="21"/>
      <c r="L28" s="20"/>
    </row>
    <row r="29" spans="2:12" ht="16.2" x14ac:dyDescent="0.3">
      <c r="B29" s="20"/>
      <c r="C29" s="198" t="s">
        <v>464</v>
      </c>
      <c r="D29" s="198"/>
      <c r="E29" s="198"/>
      <c r="F29" s="198"/>
      <c r="G29" s="87" t="s">
        <v>58</v>
      </c>
      <c r="H29" s="140" t="s">
        <v>59</v>
      </c>
      <c r="I29" s="140" t="s">
        <v>60</v>
      </c>
      <c r="J29" s="140"/>
      <c r="K29" s="88"/>
      <c r="L29" s="20"/>
    </row>
    <row r="30" spans="2:12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94"/>
      <c r="K30" s="95"/>
      <c r="L30" s="20"/>
    </row>
    <row r="31" spans="2:12" ht="16.2" x14ac:dyDescent="0.3">
      <c r="B31" s="20"/>
      <c r="C31" s="198" t="s">
        <v>465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16.2" x14ac:dyDescent="0.3">
      <c r="B33" s="20"/>
      <c r="C33" s="198" t="s">
        <v>466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20"/>
    </row>
    <row r="35" spans="2:12" ht="16.2" x14ac:dyDescent="0.3">
      <c r="B35" s="20"/>
      <c r="C35" s="198" t="s">
        <v>467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0"/>
    </row>
    <row r="36" spans="2:12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20"/>
    </row>
    <row r="37" spans="2:12" ht="16.2" x14ac:dyDescent="0.3">
      <c r="B37" s="20"/>
      <c r="C37" s="198" t="s">
        <v>468</v>
      </c>
      <c r="D37" s="198"/>
      <c r="E37" s="198"/>
      <c r="F37" s="198"/>
      <c r="G37" s="87" t="s">
        <v>58</v>
      </c>
      <c r="H37" s="140">
        <v>0</v>
      </c>
      <c r="I37" s="140">
        <v>1</v>
      </c>
      <c r="J37" s="140">
        <v>2</v>
      </c>
      <c r="K37" s="88">
        <v>3</v>
      </c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82" t="b">
        <v>0</v>
      </c>
      <c r="K38" s="91" t="b">
        <v>0</v>
      </c>
      <c r="L38" s="20"/>
    </row>
    <row r="39" spans="2:12" ht="16.2" x14ac:dyDescent="0.3">
      <c r="B39" s="20"/>
      <c r="C39" s="198" t="s">
        <v>469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0"/>
    </row>
    <row r="40" spans="2:12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94"/>
      <c r="K40" s="95"/>
      <c r="L40" s="20"/>
    </row>
    <row r="41" spans="2:12" ht="24" customHeight="1" x14ac:dyDescent="0.4">
      <c r="B41" s="20"/>
      <c r="C41" s="22" t="s">
        <v>470</v>
      </c>
      <c r="D41" s="22"/>
      <c r="E41" s="22"/>
      <c r="F41" s="20"/>
      <c r="G41" s="20"/>
      <c r="H41" s="20"/>
      <c r="I41" s="20"/>
      <c r="J41" s="21"/>
      <c r="K41" s="21"/>
      <c r="L41" s="20"/>
    </row>
    <row r="42" spans="2:12" ht="16.2" x14ac:dyDescent="0.3">
      <c r="B42" s="20"/>
      <c r="C42" s="198" t="s">
        <v>471</v>
      </c>
      <c r="D42" s="198"/>
      <c r="E42" s="198"/>
      <c r="F42" s="198"/>
      <c r="G42" s="87" t="s">
        <v>58</v>
      </c>
      <c r="H42" s="140" t="s">
        <v>59</v>
      </c>
      <c r="I42" s="140" t="s">
        <v>60</v>
      </c>
      <c r="J42" s="140"/>
      <c r="K42" s="88"/>
      <c r="L42" s="20"/>
    </row>
    <row r="43" spans="2:12" ht="14.7" customHeight="1" x14ac:dyDescent="0.3">
      <c r="B43" s="20"/>
      <c r="C43" s="198"/>
      <c r="D43" s="198"/>
      <c r="E43" s="198"/>
      <c r="F43" s="198"/>
      <c r="G43" s="89" t="b">
        <v>0</v>
      </c>
      <c r="H43" s="82" t="b">
        <v>0</v>
      </c>
      <c r="I43" s="82" t="b">
        <v>0</v>
      </c>
      <c r="J43" s="94"/>
      <c r="K43" s="95"/>
      <c r="L43" s="20"/>
    </row>
    <row r="44" spans="2:12" ht="16.2" x14ac:dyDescent="0.3">
      <c r="B44" s="20"/>
      <c r="C44" s="198" t="s">
        <v>472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88"/>
      <c r="L44" s="20"/>
    </row>
    <row r="45" spans="2:12" ht="14.7" customHeight="1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5"/>
      <c r="L45" s="20"/>
    </row>
    <row r="46" spans="2:12" ht="16.2" x14ac:dyDescent="0.3">
      <c r="B46" s="20"/>
      <c r="C46" s="198" t="s">
        <v>473</v>
      </c>
      <c r="D46" s="198"/>
      <c r="E46" s="198"/>
      <c r="F46" s="198"/>
      <c r="G46" s="87" t="s">
        <v>58</v>
      </c>
      <c r="H46" s="140" t="s">
        <v>59</v>
      </c>
      <c r="I46" s="140" t="s">
        <v>60</v>
      </c>
      <c r="J46" s="140"/>
      <c r="K46" s="88"/>
      <c r="L46" s="20"/>
    </row>
    <row r="47" spans="2:12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94"/>
      <c r="K47" s="95"/>
      <c r="L47" s="20"/>
    </row>
    <row r="48" spans="2:12" ht="16.2" x14ac:dyDescent="0.3">
      <c r="B48" s="20"/>
      <c r="C48" s="198" t="s">
        <v>474</v>
      </c>
      <c r="D48" s="198"/>
      <c r="E48" s="198"/>
      <c r="F48" s="198"/>
      <c r="G48" s="87" t="s">
        <v>58</v>
      </c>
      <c r="H48" s="140" t="s">
        <v>59</v>
      </c>
      <c r="I48" s="140" t="s">
        <v>60</v>
      </c>
      <c r="J48" s="140"/>
      <c r="K48" s="88"/>
      <c r="L48" s="20"/>
    </row>
    <row r="49" spans="2:12" ht="14.7" customHeight="1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94"/>
      <c r="K49" s="95"/>
      <c r="L49" s="20"/>
    </row>
    <row r="50" spans="2:12" ht="16.2" x14ac:dyDescent="0.3">
      <c r="B50" s="20"/>
      <c r="C50" s="198" t="s">
        <v>475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88"/>
      <c r="L50" s="20"/>
    </row>
    <row r="51" spans="2:12" ht="14.7" customHeight="1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94"/>
      <c r="K51" s="95"/>
      <c r="L51" s="20"/>
    </row>
    <row r="52" spans="2:12" ht="16.2" x14ac:dyDescent="0.3">
      <c r="B52" s="20"/>
      <c r="C52" s="198" t="s">
        <v>476</v>
      </c>
      <c r="D52" s="198"/>
      <c r="E52" s="198"/>
      <c r="F52" s="198"/>
      <c r="G52" s="87" t="s">
        <v>58</v>
      </c>
      <c r="H52" s="140" t="s">
        <v>59</v>
      </c>
      <c r="I52" s="140" t="s">
        <v>60</v>
      </c>
      <c r="J52" s="140"/>
      <c r="K52" s="88"/>
      <c r="L52" s="20"/>
    </row>
    <row r="53" spans="2:12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94"/>
      <c r="K53" s="95"/>
      <c r="L53" s="20"/>
    </row>
    <row r="54" spans="2:12" ht="16.2" x14ac:dyDescent="0.3">
      <c r="B54" s="20"/>
      <c r="C54" s="198" t="s">
        <v>477</v>
      </c>
      <c r="D54" s="198"/>
      <c r="E54" s="198"/>
      <c r="F54" s="198"/>
      <c r="G54" s="87" t="s">
        <v>58</v>
      </c>
      <c r="H54" s="140" t="s">
        <v>59</v>
      </c>
      <c r="I54" s="140" t="s">
        <v>60</v>
      </c>
      <c r="J54" s="140"/>
      <c r="K54" s="88"/>
      <c r="L54" s="20"/>
    </row>
    <row r="55" spans="2:12" x14ac:dyDescent="0.3">
      <c r="B55" s="20"/>
      <c r="C55" s="198"/>
      <c r="D55" s="198"/>
      <c r="E55" s="198"/>
      <c r="F55" s="198"/>
      <c r="G55" s="89" t="b">
        <v>0</v>
      </c>
      <c r="H55" s="82" t="b">
        <v>0</v>
      </c>
      <c r="I55" s="82" t="b">
        <v>0</v>
      </c>
      <c r="J55" s="94"/>
      <c r="K55" s="95"/>
      <c r="L55" s="20"/>
    </row>
    <row r="56" spans="2:12" ht="16.2" x14ac:dyDescent="0.3">
      <c r="B56" s="20"/>
      <c r="C56" s="198" t="s">
        <v>478</v>
      </c>
      <c r="D56" s="198"/>
      <c r="E56" s="198"/>
      <c r="F56" s="198"/>
      <c r="G56" s="87" t="s">
        <v>58</v>
      </c>
      <c r="H56" s="140">
        <v>0</v>
      </c>
      <c r="I56" s="140">
        <v>1</v>
      </c>
      <c r="J56" s="140">
        <v>2</v>
      </c>
      <c r="K56" s="88">
        <v>3</v>
      </c>
      <c r="L56" s="20"/>
    </row>
    <row r="57" spans="2:12" ht="14.7" customHeight="1" x14ac:dyDescent="0.3">
      <c r="B57" s="20"/>
      <c r="C57" s="198"/>
      <c r="D57" s="198"/>
      <c r="E57" s="198"/>
      <c r="F57" s="198"/>
      <c r="G57" s="89" t="b">
        <v>0</v>
      </c>
      <c r="H57" s="82" t="b">
        <v>0</v>
      </c>
      <c r="I57" s="82" t="b">
        <v>0</v>
      </c>
      <c r="J57" s="82" t="b">
        <v>0</v>
      </c>
      <c r="K57" s="91" t="b">
        <v>0</v>
      </c>
      <c r="L57" s="20"/>
    </row>
    <row r="58" spans="2:12" ht="16.2" x14ac:dyDescent="0.3">
      <c r="B58" s="20"/>
      <c r="C58" s="197" t="s">
        <v>479</v>
      </c>
      <c r="D58" s="197"/>
      <c r="E58" s="197"/>
      <c r="F58" s="197"/>
      <c r="G58" s="87" t="s">
        <v>58</v>
      </c>
      <c r="H58" s="140">
        <v>0</v>
      </c>
      <c r="I58" s="140">
        <v>1</v>
      </c>
      <c r="J58" s="140">
        <v>2</v>
      </c>
      <c r="K58" s="88">
        <v>3</v>
      </c>
      <c r="L58" s="20"/>
    </row>
    <row r="59" spans="2:12" ht="14.7" customHeight="1" x14ac:dyDescent="0.3">
      <c r="B59" s="20"/>
      <c r="C59" s="197"/>
      <c r="D59" s="197"/>
      <c r="E59" s="197"/>
      <c r="F59" s="197"/>
      <c r="G59" s="89" t="b">
        <v>0</v>
      </c>
      <c r="H59" s="82" t="b">
        <v>0</v>
      </c>
      <c r="I59" s="82" t="b">
        <v>0</v>
      </c>
      <c r="J59" s="82" t="b">
        <v>0</v>
      </c>
      <c r="K59" s="91" t="b">
        <v>0</v>
      </c>
      <c r="L59" s="20"/>
    </row>
    <row r="60" spans="2:12" x14ac:dyDescent="0.3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x14ac:dyDescent="0.3">
      <c r="B61" s="29"/>
      <c r="C61" s="29"/>
      <c r="D61" s="29"/>
      <c r="E61" s="29"/>
      <c r="F61" s="31"/>
      <c r="G61" s="31"/>
      <c r="H61" s="31"/>
      <c r="I61" s="30"/>
      <c r="J61" s="30"/>
      <c r="K61" s="30"/>
      <c r="L61" s="30"/>
    </row>
    <row r="62" spans="2:12" x14ac:dyDescent="0.3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2" x14ac:dyDescent="0.3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2:12" x14ac:dyDescent="0.3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2" x14ac:dyDescent="0.3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</sheetData>
  <sheetProtection sheet="1" objects="1" scenarios="1"/>
  <mergeCells count="26">
    <mergeCell ref="C56:F57"/>
    <mergeCell ref="C58:F59"/>
    <mergeCell ref="C44:F45"/>
    <mergeCell ref="C46:F47"/>
    <mergeCell ref="C48:F49"/>
    <mergeCell ref="C50:F51"/>
    <mergeCell ref="C52:F53"/>
    <mergeCell ref="C54:F55"/>
    <mergeCell ref="C42:F43"/>
    <mergeCell ref="C18:F19"/>
    <mergeCell ref="C20:F21"/>
    <mergeCell ref="C22:F23"/>
    <mergeCell ref="C24:F25"/>
    <mergeCell ref="C26:F27"/>
    <mergeCell ref="C29:F30"/>
    <mergeCell ref="C31:F32"/>
    <mergeCell ref="C33:F34"/>
    <mergeCell ref="C35:F36"/>
    <mergeCell ref="C37:F38"/>
    <mergeCell ref="C39:F40"/>
    <mergeCell ref="C16:F17"/>
    <mergeCell ref="F3:K5"/>
    <mergeCell ref="C8:I8"/>
    <mergeCell ref="C10:F11"/>
    <mergeCell ref="C12:F13"/>
    <mergeCell ref="C14:F15"/>
  </mergeCells>
  <conditionalFormatting sqref="C12">
    <cfRule type="expression" dxfId="154" priority="26">
      <formula>AND($G$13:$K$13=FALSE)</formula>
    </cfRule>
  </conditionalFormatting>
  <conditionalFormatting sqref="C14">
    <cfRule type="expression" dxfId="153" priority="24">
      <formula>AND($G$15:$K$15=FALSE)</formula>
    </cfRule>
  </conditionalFormatting>
  <conditionalFormatting sqref="C16">
    <cfRule type="expression" dxfId="152" priority="23">
      <formula>AND($G$17:$K$17=FALSE)</formula>
    </cfRule>
  </conditionalFormatting>
  <conditionalFormatting sqref="C18">
    <cfRule type="expression" dxfId="151" priority="22">
      <formula>AND($G$19:$K$19=FALSE)</formula>
    </cfRule>
  </conditionalFormatting>
  <conditionalFormatting sqref="C20">
    <cfRule type="expression" dxfId="150" priority="21">
      <formula>AND($G$21:$K$21=FALSE)</formula>
    </cfRule>
  </conditionalFormatting>
  <conditionalFormatting sqref="C22">
    <cfRule type="expression" dxfId="149" priority="18">
      <formula>AND($G$23:$K$23=FALSE)</formula>
    </cfRule>
  </conditionalFormatting>
  <conditionalFormatting sqref="C26">
    <cfRule type="expression" dxfId="148" priority="19">
      <formula>AND($G$27:$K$27=FALSE)</formula>
    </cfRule>
  </conditionalFormatting>
  <conditionalFormatting sqref="C29">
    <cfRule type="expression" dxfId="147" priority="17">
      <formula>AND($G$30:$K$30=FALSE)</formula>
    </cfRule>
  </conditionalFormatting>
  <conditionalFormatting sqref="C31">
    <cfRule type="expression" dxfId="146" priority="16">
      <formula>AND($G$32:$K$32=FALSE)</formula>
    </cfRule>
  </conditionalFormatting>
  <conditionalFormatting sqref="C33">
    <cfRule type="expression" dxfId="145" priority="15">
      <formula>AND($G$34:$K$34=FALSE)</formula>
    </cfRule>
  </conditionalFormatting>
  <conditionalFormatting sqref="C35">
    <cfRule type="expression" dxfId="144" priority="14">
      <formula>AND($G$36:$K$36=FALSE)</formula>
    </cfRule>
  </conditionalFormatting>
  <conditionalFormatting sqref="C37">
    <cfRule type="expression" dxfId="143" priority="13">
      <formula>AND($G$38:$K$38=FALSE)</formula>
    </cfRule>
  </conditionalFormatting>
  <conditionalFormatting sqref="C39">
    <cfRule type="expression" dxfId="142" priority="12">
      <formula>AND($G$40:$K$40=FALSE)</formula>
    </cfRule>
  </conditionalFormatting>
  <conditionalFormatting sqref="C42">
    <cfRule type="expression" dxfId="141" priority="11">
      <formula>AND($G$43:$K$43=FALSE)</formula>
    </cfRule>
  </conditionalFormatting>
  <conditionalFormatting sqref="C44">
    <cfRule type="expression" dxfId="140" priority="10">
      <formula>AND($G$45:$K$45=FALSE)</formula>
    </cfRule>
  </conditionalFormatting>
  <conditionalFormatting sqref="C46">
    <cfRule type="expression" dxfId="139" priority="9">
      <formula>AND($G$47:$K$47=FALSE)</formula>
    </cfRule>
  </conditionalFormatting>
  <conditionalFormatting sqref="C48">
    <cfRule type="expression" dxfId="138" priority="2">
      <formula>AND($G$49:$K$49=FALSE)</formula>
    </cfRule>
  </conditionalFormatting>
  <conditionalFormatting sqref="C50">
    <cfRule type="expression" dxfId="137" priority="8">
      <formula>AND($G$51:$K$51=FALSE)</formula>
    </cfRule>
  </conditionalFormatting>
  <conditionalFormatting sqref="C52">
    <cfRule type="expression" dxfId="136" priority="7">
      <formula>AND($G$53:$K$53=FALSE)</formula>
    </cfRule>
  </conditionalFormatting>
  <conditionalFormatting sqref="C54">
    <cfRule type="expression" dxfId="135" priority="6">
      <formula>AND($G$55:$K$55=FALSE)</formula>
    </cfRule>
  </conditionalFormatting>
  <conditionalFormatting sqref="C56">
    <cfRule type="expression" dxfId="134" priority="5">
      <formula>AND($G$57:$K$57=FALSE)</formula>
    </cfRule>
  </conditionalFormatting>
  <conditionalFormatting sqref="C58">
    <cfRule type="expression" dxfId="133" priority="4">
      <formula>AND($G$59:$K$59=FALSE)</formula>
    </cfRule>
  </conditionalFormatting>
  <conditionalFormatting sqref="C10:F11">
    <cfRule type="expression" dxfId="132" priority="25">
      <formula>AND($G$11:$I$11=FALSE)</formula>
    </cfRule>
  </conditionalFormatting>
  <conditionalFormatting sqref="C24:F25">
    <cfRule type="expression" dxfId="131" priority="20">
      <formula>AND($G$25:$K$25=FALSE)</formula>
    </cfRule>
  </conditionalFormatting>
  <pageMargins left="0.7" right="0.7" top="0.75" bottom="0.75" header="0.3" footer="0.3"/>
  <pageSetup paperSize="9"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E25E-FA04-482C-A403-565CECD55C69}">
  <sheetPr codeName="Feuil31"/>
  <dimension ref="B2:M46"/>
  <sheetViews>
    <sheetView showGridLines="0" tabSelected="1" showWhiteSpace="0" view="pageBreakPreview" topLeftCell="A6" zoomScaleNormal="11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480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481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482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483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484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485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486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2" x14ac:dyDescent="0.3">
      <c r="B20" s="20"/>
      <c r="C20" s="198" t="s">
        <v>487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2" x14ac:dyDescent="0.3">
      <c r="B22" s="20"/>
      <c r="C22" s="198" t="s">
        <v>488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16.2" x14ac:dyDescent="0.3">
      <c r="B24" s="20"/>
      <c r="C24" s="198" t="s">
        <v>489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16.2" x14ac:dyDescent="0.3">
      <c r="B26" s="20"/>
      <c r="C26" s="198" t="s">
        <v>490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491</v>
      </c>
      <c r="D28" s="198"/>
      <c r="E28" s="198"/>
      <c r="F28" s="198"/>
      <c r="G28" s="87" t="s">
        <v>58</v>
      </c>
      <c r="H28" s="140">
        <v>0</v>
      </c>
      <c r="I28" s="140">
        <v>1</v>
      </c>
      <c r="J28" s="140">
        <v>2</v>
      </c>
      <c r="K28" s="88">
        <v>3</v>
      </c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82" t="b">
        <v>0</v>
      </c>
      <c r="K29" s="91" t="b">
        <v>0</v>
      </c>
      <c r="L29" s="20"/>
    </row>
    <row r="30" spans="2:12" ht="16.2" x14ac:dyDescent="0.3">
      <c r="B30" s="20"/>
      <c r="C30" s="198" t="s">
        <v>492</v>
      </c>
      <c r="D30" s="198"/>
      <c r="E30" s="198"/>
      <c r="F30" s="198"/>
      <c r="G30" s="87" t="s">
        <v>58</v>
      </c>
      <c r="H30" s="140">
        <v>0</v>
      </c>
      <c r="I30" s="140">
        <v>1</v>
      </c>
      <c r="J30" s="140">
        <v>2</v>
      </c>
      <c r="K30" s="88">
        <v>3</v>
      </c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82" t="b">
        <v>0</v>
      </c>
      <c r="K31" s="91" t="b">
        <v>0</v>
      </c>
      <c r="L31" s="20"/>
    </row>
    <row r="32" spans="2:12" ht="24" customHeight="1" x14ac:dyDescent="0.4">
      <c r="B32" s="20"/>
      <c r="C32" s="22" t="s">
        <v>493</v>
      </c>
      <c r="D32" s="22"/>
      <c r="E32" s="22"/>
      <c r="F32" s="20"/>
      <c r="G32" s="20"/>
      <c r="H32" s="20"/>
      <c r="I32" s="20"/>
      <c r="J32" s="21"/>
      <c r="K32" s="21"/>
      <c r="L32" s="20"/>
    </row>
    <row r="33" spans="2:12" ht="16.2" x14ac:dyDescent="0.3">
      <c r="B33" s="20"/>
      <c r="C33" s="198" t="s">
        <v>494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20"/>
    </row>
    <row r="35" spans="2:12" ht="16.2" x14ac:dyDescent="0.3">
      <c r="B35" s="20"/>
      <c r="C35" s="198" t="s">
        <v>495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0"/>
    </row>
    <row r="36" spans="2:12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94"/>
      <c r="K36" s="95"/>
      <c r="L36" s="20"/>
    </row>
    <row r="37" spans="2:12" ht="16.2" x14ac:dyDescent="0.3">
      <c r="B37" s="20"/>
      <c r="C37" s="198" t="s">
        <v>496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20"/>
    </row>
    <row r="39" spans="2:12" ht="16.2" x14ac:dyDescent="0.3">
      <c r="B39" s="20"/>
      <c r="C39" s="198" t="s">
        <v>497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0"/>
    </row>
    <row r="40" spans="2:12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94"/>
      <c r="K40" s="95"/>
      <c r="L40" s="20"/>
    </row>
    <row r="41" spans="2:12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2:12" x14ac:dyDescent="0.3">
      <c r="B42" s="29"/>
      <c r="C42" s="29"/>
      <c r="D42" s="29"/>
      <c r="E42" s="29"/>
      <c r="F42" s="31"/>
      <c r="G42" s="31"/>
      <c r="H42" s="31"/>
      <c r="I42" s="30"/>
      <c r="J42" s="30"/>
      <c r="K42" s="30"/>
      <c r="L42" s="30"/>
    </row>
    <row r="43" spans="2:12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2:12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2:12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2:12" x14ac:dyDescent="0.3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</sheetData>
  <sheetProtection sheet="1" objects="1" scenarios="1"/>
  <mergeCells count="17">
    <mergeCell ref="C30:F31"/>
    <mergeCell ref="C33:F34"/>
    <mergeCell ref="C35:F36"/>
    <mergeCell ref="C37:F38"/>
    <mergeCell ref="C39:F40"/>
    <mergeCell ref="C28:F29"/>
    <mergeCell ref="F3:K5"/>
    <mergeCell ref="C8:I8"/>
    <mergeCell ref="C10:F11"/>
    <mergeCell ref="C12:F13"/>
    <mergeCell ref="C14:F15"/>
    <mergeCell ref="C16:F17"/>
    <mergeCell ref="C18:F19"/>
    <mergeCell ref="C20:F21"/>
    <mergeCell ref="C22:F23"/>
    <mergeCell ref="C24:F25"/>
    <mergeCell ref="C26:F27"/>
  </mergeCells>
  <conditionalFormatting sqref="C12">
    <cfRule type="expression" dxfId="130" priority="24">
      <formula>AND($G$13:$K$13=FALSE)</formula>
    </cfRule>
  </conditionalFormatting>
  <conditionalFormatting sqref="C14">
    <cfRule type="expression" dxfId="129" priority="22">
      <formula>AND($G$15:$K$15=FALSE)</formula>
    </cfRule>
  </conditionalFormatting>
  <conditionalFormatting sqref="C16">
    <cfRule type="expression" dxfId="128" priority="21">
      <formula>AND($G$17:$K$17=FALSE)</formula>
    </cfRule>
  </conditionalFormatting>
  <conditionalFormatting sqref="C18">
    <cfRule type="expression" dxfId="127" priority="20">
      <formula>AND($G$19:$K$19=FALSE)</formula>
    </cfRule>
  </conditionalFormatting>
  <conditionalFormatting sqref="C20">
    <cfRule type="expression" dxfId="126" priority="19">
      <formula>AND($G$21:$K$21=FALSE)</formula>
    </cfRule>
  </conditionalFormatting>
  <conditionalFormatting sqref="C22">
    <cfRule type="expression" dxfId="125" priority="16">
      <formula>AND($G$23:$K$23=FALSE)</formula>
    </cfRule>
  </conditionalFormatting>
  <conditionalFormatting sqref="C26">
    <cfRule type="expression" dxfId="124" priority="17">
      <formula>AND($G$27:$K$27=FALSE)</formula>
    </cfRule>
  </conditionalFormatting>
  <conditionalFormatting sqref="C28">
    <cfRule type="expression" dxfId="123" priority="15">
      <formula>AND($G$29:$K$29=FALSE)</formula>
    </cfRule>
  </conditionalFormatting>
  <conditionalFormatting sqref="C30">
    <cfRule type="expression" dxfId="122" priority="14">
      <formula>AND($G$31:$K$31=FALSE)</formula>
    </cfRule>
  </conditionalFormatting>
  <conditionalFormatting sqref="C33">
    <cfRule type="expression" dxfId="121" priority="13">
      <formula>AND($G$34:$K$34=FALSE)</formula>
    </cfRule>
  </conditionalFormatting>
  <conditionalFormatting sqref="C35">
    <cfRule type="expression" dxfId="120" priority="12">
      <formula>AND($G$36:$K$36=FALSE)</formula>
    </cfRule>
  </conditionalFormatting>
  <conditionalFormatting sqref="C37">
    <cfRule type="expression" dxfId="119" priority="11">
      <formula>AND($G$38:$K$38=FALSE)</formula>
    </cfRule>
  </conditionalFormatting>
  <conditionalFormatting sqref="C39">
    <cfRule type="expression" dxfId="118" priority="10">
      <formula>AND($G$40:$K$40=FALSE)</formula>
    </cfRule>
  </conditionalFormatting>
  <conditionalFormatting sqref="C10:F11">
    <cfRule type="expression" dxfId="117" priority="23">
      <formula>AND($G$11:$I$11=FALSE)</formula>
    </cfRule>
  </conditionalFormatting>
  <conditionalFormatting sqref="C24:F25">
    <cfRule type="expression" dxfId="116" priority="18">
      <formula>AND($G$25:$K$25=FALSE)</formula>
    </cfRule>
  </conditionalFormatting>
  <pageMargins left="0.7" right="0.7" top="0.75" bottom="0.75" header="0.3" footer="0.3"/>
  <pageSetup paperSize="9" scale="6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31D6-FB84-4EDC-929E-A0496105498E}">
  <sheetPr codeName="Feuil32"/>
  <dimension ref="B2:M73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498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205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499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369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370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500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501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24" customHeight="1" x14ac:dyDescent="0.4">
      <c r="B20" s="20"/>
      <c r="C20" s="22" t="s">
        <v>181</v>
      </c>
      <c r="D20" s="22"/>
      <c r="E20" s="22"/>
      <c r="F20" s="20"/>
      <c r="G20" s="20"/>
      <c r="H20" s="20"/>
      <c r="I20" s="20"/>
      <c r="J20" s="21"/>
      <c r="K20" s="21"/>
      <c r="L20" s="20"/>
    </row>
    <row r="21" spans="2:12" ht="16.2" x14ac:dyDescent="0.3">
      <c r="B21" s="20"/>
      <c r="C21" s="198" t="s">
        <v>502</v>
      </c>
      <c r="D21" s="198"/>
      <c r="E21" s="198"/>
      <c r="F21" s="198"/>
      <c r="G21" s="87" t="s">
        <v>58</v>
      </c>
      <c r="H21" s="140" t="s">
        <v>59</v>
      </c>
      <c r="I21" s="140" t="s">
        <v>60</v>
      </c>
      <c r="J21" s="140"/>
      <c r="K21" s="88"/>
      <c r="L21" s="20"/>
    </row>
    <row r="22" spans="2:12" ht="14.7" customHeight="1" x14ac:dyDescent="0.3">
      <c r="B22" s="20"/>
      <c r="C22" s="198"/>
      <c r="D22" s="198"/>
      <c r="E22" s="198"/>
      <c r="F22" s="198"/>
      <c r="G22" s="89" t="b">
        <v>0</v>
      </c>
      <c r="H22" s="82" t="b">
        <v>0</v>
      </c>
      <c r="I22" s="82" t="b">
        <v>0</v>
      </c>
      <c r="J22" s="94"/>
      <c r="K22" s="95"/>
      <c r="L22" s="20"/>
    </row>
    <row r="23" spans="2:12" ht="16.2" x14ac:dyDescent="0.3">
      <c r="B23" s="20"/>
      <c r="C23" s="198" t="s">
        <v>185</v>
      </c>
      <c r="D23" s="198"/>
      <c r="E23" s="198"/>
      <c r="F23" s="198"/>
      <c r="G23" s="87" t="s">
        <v>58</v>
      </c>
      <c r="H23" s="140" t="s">
        <v>59</v>
      </c>
      <c r="I23" s="140" t="s">
        <v>60</v>
      </c>
      <c r="J23" s="140"/>
      <c r="K23" s="88"/>
      <c r="L23" s="20"/>
    </row>
    <row r="24" spans="2:12" ht="14.7" customHeight="1" x14ac:dyDescent="0.3">
      <c r="B24" s="20"/>
      <c r="C24" s="198"/>
      <c r="D24" s="198"/>
      <c r="E24" s="198"/>
      <c r="F24" s="198"/>
      <c r="G24" s="89" t="b">
        <v>0</v>
      </c>
      <c r="H24" s="82" t="b">
        <v>0</v>
      </c>
      <c r="I24" s="82" t="b">
        <v>0</v>
      </c>
      <c r="J24" s="94"/>
      <c r="K24" s="95"/>
      <c r="L24" s="20"/>
    </row>
    <row r="25" spans="2:12" ht="16.2" x14ac:dyDescent="0.3">
      <c r="B25" s="20"/>
      <c r="C25" s="198" t="s">
        <v>503</v>
      </c>
      <c r="D25" s="198"/>
      <c r="E25" s="198"/>
      <c r="F25" s="198"/>
      <c r="G25" s="87" t="s">
        <v>58</v>
      </c>
      <c r="H25" s="140" t="s">
        <v>59</v>
      </c>
      <c r="I25" s="140" t="s">
        <v>60</v>
      </c>
      <c r="J25" s="140"/>
      <c r="K25" s="88"/>
      <c r="L25" s="20"/>
    </row>
    <row r="26" spans="2:12" ht="14.7" customHeight="1" x14ac:dyDescent="0.3">
      <c r="B26" s="20"/>
      <c r="C26" s="198"/>
      <c r="D26" s="198"/>
      <c r="E26" s="198"/>
      <c r="F26" s="198"/>
      <c r="G26" s="89" t="b">
        <v>0</v>
      </c>
      <c r="H26" s="82" t="b">
        <v>0</v>
      </c>
      <c r="I26" s="82" t="b">
        <v>0</v>
      </c>
      <c r="J26" s="94"/>
      <c r="K26" s="95"/>
      <c r="L26" s="20"/>
    </row>
    <row r="27" spans="2:12" ht="16.2" x14ac:dyDescent="0.3">
      <c r="B27" s="20"/>
      <c r="C27" s="198" t="s">
        <v>504</v>
      </c>
      <c r="D27" s="198"/>
      <c r="E27" s="198"/>
      <c r="F27" s="198"/>
      <c r="G27" s="87" t="s">
        <v>58</v>
      </c>
      <c r="H27" s="140" t="s">
        <v>59</v>
      </c>
      <c r="I27" s="140" t="s">
        <v>60</v>
      </c>
      <c r="J27" s="140"/>
      <c r="K27" s="88"/>
      <c r="L27" s="20"/>
    </row>
    <row r="28" spans="2:12" ht="14.7" customHeight="1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94"/>
      <c r="K28" s="95"/>
      <c r="L28" s="20"/>
    </row>
    <row r="29" spans="2:12" ht="16.2" x14ac:dyDescent="0.3">
      <c r="B29" s="20"/>
      <c r="C29" s="198" t="s">
        <v>505</v>
      </c>
      <c r="D29" s="198"/>
      <c r="E29" s="198"/>
      <c r="F29" s="198"/>
      <c r="G29" s="87" t="s">
        <v>58</v>
      </c>
      <c r="H29" s="140" t="s">
        <v>59</v>
      </c>
      <c r="I29" s="140" t="s">
        <v>60</v>
      </c>
      <c r="J29" s="140"/>
      <c r="K29" s="88"/>
      <c r="L29" s="20"/>
    </row>
    <row r="30" spans="2:12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94"/>
      <c r="K30" s="95"/>
      <c r="L30" s="20"/>
    </row>
    <row r="31" spans="2:12" ht="16.2" x14ac:dyDescent="0.3">
      <c r="B31" s="20"/>
      <c r="C31" s="198" t="s">
        <v>506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16.2" x14ac:dyDescent="0.3">
      <c r="B33" s="20"/>
      <c r="C33" s="198" t="s">
        <v>507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0"/>
    </row>
    <row r="34" spans="2:12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20"/>
    </row>
    <row r="35" spans="2:12" ht="16.2" x14ac:dyDescent="0.3">
      <c r="B35" s="20"/>
      <c r="C35" s="198" t="s">
        <v>508</v>
      </c>
      <c r="D35" s="198"/>
      <c r="E35" s="198"/>
      <c r="F35" s="198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0"/>
    </row>
    <row r="36" spans="2:12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20"/>
    </row>
    <row r="37" spans="2:12" ht="24" customHeight="1" x14ac:dyDescent="0.4">
      <c r="B37" s="20"/>
      <c r="C37" s="22" t="s">
        <v>509</v>
      </c>
      <c r="D37" s="22"/>
      <c r="E37" s="22"/>
      <c r="F37" s="20"/>
      <c r="G37" s="20"/>
      <c r="H37" s="20"/>
      <c r="I37" s="20"/>
      <c r="J37" s="21"/>
      <c r="K37" s="21"/>
      <c r="L37" s="20"/>
    </row>
    <row r="38" spans="2:12" ht="32.700000000000003" customHeight="1" x14ac:dyDescent="0.3">
      <c r="B38" s="20"/>
      <c r="C38" s="198" t="s">
        <v>510</v>
      </c>
      <c r="D38" s="198"/>
      <c r="E38" s="198"/>
      <c r="F38" s="198"/>
      <c r="G38" s="87" t="s">
        <v>58</v>
      </c>
      <c r="H38" s="140" t="s">
        <v>59</v>
      </c>
      <c r="I38" s="140" t="s">
        <v>60</v>
      </c>
      <c r="J38" s="140"/>
      <c r="K38" s="88"/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94"/>
      <c r="K39" s="95"/>
      <c r="L39" s="20"/>
    </row>
    <row r="40" spans="2:12" ht="16.2" x14ac:dyDescent="0.3">
      <c r="B40" s="20"/>
      <c r="C40" s="198" t="s">
        <v>511</v>
      </c>
      <c r="D40" s="198"/>
      <c r="E40" s="198"/>
      <c r="F40" s="198"/>
      <c r="G40" s="87" t="s">
        <v>58</v>
      </c>
      <c r="H40" s="140" t="s">
        <v>59</v>
      </c>
      <c r="I40" s="140" t="s">
        <v>60</v>
      </c>
      <c r="J40" s="140"/>
      <c r="K40" s="88"/>
      <c r="L40" s="20"/>
    </row>
    <row r="41" spans="2:12" ht="14.7" customHeight="1" x14ac:dyDescent="0.3">
      <c r="B41" s="20"/>
      <c r="C41" s="198"/>
      <c r="D41" s="198"/>
      <c r="E41" s="198"/>
      <c r="F41" s="198"/>
      <c r="G41" s="89" t="b">
        <v>0</v>
      </c>
      <c r="H41" s="82" t="b">
        <v>0</v>
      </c>
      <c r="I41" s="82" t="b">
        <v>0</v>
      </c>
      <c r="J41" s="94"/>
      <c r="K41" s="95"/>
      <c r="L41" s="20"/>
    </row>
    <row r="42" spans="2:12" ht="16.2" x14ac:dyDescent="0.3">
      <c r="B42" s="20"/>
      <c r="C42" s="198" t="s">
        <v>512</v>
      </c>
      <c r="D42" s="198"/>
      <c r="E42" s="198"/>
      <c r="F42" s="198"/>
      <c r="G42" s="87" t="s">
        <v>58</v>
      </c>
      <c r="H42" s="140" t="s">
        <v>59</v>
      </c>
      <c r="I42" s="140" t="s">
        <v>60</v>
      </c>
      <c r="J42" s="140"/>
      <c r="K42" s="88"/>
      <c r="L42" s="20"/>
    </row>
    <row r="43" spans="2:12" ht="14.7" customHeight="1" x14ac:dyDescent="0.3">
      <c r="B43" s="20"/>
      <c r="C43" s="198"/>
      <c r="D43" s="198"/>
      <c r="E43" s="198"/>
      <c r="F43" s="198"/>
      <c r="G43" s="89" t="b">
        <v>0</v>
      </c>
      <c r="H43" s="82" t="b">
        <v>0</v>
      </c>
      <c r="I43" s="82" t="b">
        <v>0</v>
      </c>
      <c r="J43" s="94"/>
      <c r="K43" s="95"/>
      <c r="L43" s="20"/>
    </row>
    <row r="44" spans="2:12" ht="16.2" x14ac:dyDescent="0.3">
      <c r="B44" s="20"/>
      <c r="C44" s="198" t="s">
        <v>513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88"/>
      <c r="L44" s="20"/>
    </row>
    <row r="45" spans="2:12" ht="14.7" customHeight="1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5"/>
      <c r="L45" s="20"/>
    </row>
    <row r="46" spans="2:12" ht="16.2" x14ac:dyDescent="0.3">
      <c r="B46" s="20"/>
      <c r="C46" s="198" t="s">
        <v>514</v>
      </c>
      <c r="D46" s="198"/>
      <c r="E46" s="198"/>
      <c r="F46" s="198"/>
      <c r="G46" s="87" t="s">
        <v>58</v>
      </c>
      <c r="H46" s="140" t="s">
        <v>59</v>
      </c>
      <c r="I46" s="140" t="s">
        <v>60</v>
      </c>
      <c r="J46" s="140"/>
      <c r="K46" s="88"/>
      <c r="L46" s="20"/>
    </row>
    <row r="47" spans="2:12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94"/>
      <c r="K47" s="95"/>
      <c r="L47" s="20"/>
    </row>
    <row r="48" spans="2:12" ht="33.6" customHeight="1" x14ac:dyDescent="0.3">
      <c r="B48" s="20"/>
      <c r="C48" s="198" t="s">
        <v>515</v>
      </c>
      <c r="D48" s="198"/>
      <c r="E48" s="198"/>
      <c r="F48" s="198"/>
      <c r="G48" s="87" t="s">
        <v>58</v>
      </c>
      <c r="H48" s="140" t="s">
        <v>59</v>
      </c>
      <c r="I48" s="140" t="s">
        <v>60</v>
      </c>
      <c r="J48" s="140"/>
      <c r="K48" s="88"/>
      <c r="L48" s="20"/>
    </row>
    <row r="49" spans="2:12" ht="14.7" customHeight="1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94"/>
      <c r="K49" s="95"/>
      <c r="L49" s="20"/>
    </row>
    <row r="50" spans="2:12" ht="16.2" x14ac:dyDescent="0.3">
      <c r="B50" s="20"/>
      <c r="C50" s="198" t="s">
        <v>185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88"/>
      <c r="L50" s="20"/>
    </row>
    <row r="51" spans="2:12" ht="14.7" customHeight="1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94"/>
      <c r="K51" s="95"/>
      <c r="L51" s="20"/>
    </row>
    <row r="52" spans="2:12" ht="16.2" x14ac:dyDescent="0.3">
      <c r="B52" s="20"/>
      <c r="C52" s="198" t="s">
        <v>516</v>
      </c>
      <c r="D52" s="198"/>
      <c r="E52" s="198"/>
      <c r="F52" s="198"/>
      <c r="G52" s="87" t="s">
        <v>58</v>
      </c>
      <c r="H52" s="140" t="s">
        <v>59</v>
      </c>
      <c r="I52" s="140" t="s">
        <v>60</v>
      </c>
      <c r="J52" s="140"/>
      <c r="K52" s="88"/>
      <c r="L52" s="20"/>
    </row>
    <row r="53" spans="2:12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94"/>
      <c r="K53" s="95"/>
      <c r="L53" s="20"/>
    </row>
    <row r="54" spans="2:12" ht="16.2" x14ac:dyDescent="0.3">
      <c r="B54" s="20"/>
      <c r="C54" s="198" t="s">
        <v>517</v>
      </c>
      <c r="D54" s="198"/>
      <c r="E54" s="198"/>
      <c r="F54" s="198"/>
      <c r="G54" s="87" t="s">
        <v>58</v>
      </c>
      <c r="H54" s="140" t="s">
        <v>59</v>
      </c>
      <c r="I54" s="140" t="s">
        <v>60</v>
      </c>
      <c r="J54" s="140"/>
      <c r="K54" s="88"/>
      <c r="L54" s="20"/>
    </row>
    <row r="55" spans="2:12" x14ac:dyDescent="0.3">
      <c r="B55" s="20"/>
      <c r="C55" s="198"/>
      <c r="D55" s="198"/>
      <c r="E55" s="198"/>
      <c r="F55" s="198"/>
      <c r="G55" s="89" t="b">
        <v>0</v>
      </c>
      <c r="H55" s="82" t="b">
        <v>0</v>
      </c>
      <c r="I55" s="82" t="b">
        <v>0</v>
      </c>
      <c r="J55" s="94"/>
      <c r="K55" s="95"/>
      <c r="L55" s="20"/>
    </row>
    <row r="56" spans="2:12" ht="16.2" x14ac:dyDescent="0.3">
      <c r="B56" s="20"/>
      <c r="C56" s="198" t="s">
        <v>518</v>
      </c>
      <c r="D56" s="198"/>
      <c r="E56" s="198"/>
      <c r="F56" s="198"/>
      <c r="G56" s="87" t="s">
        <v>58</v>
      </c>
      <c r="H56" s="140" t="s">
        <v>59</v>
      </c>
      <c r="I56" s="140" t="s">
        <v>60</v>
      </c>
      <c r="J56" s="140"/>
      <c r="K56" s="88"/>
      <c r="L56" s="20"/>
    </row>
    <row r="57" spans="2:12" ht="14.7" customHeight="1" x14ac:dyDescent="0.3">
      <c r="B57" s="20"/>
      <c r="C57" s="198"/>
      <c r="D57" s="198"/>
      <c r="E57" s="198"/>
      <c r="F57" s="198"/>
      <c r="G57" s="89" t="b">
        <v>0</v>
      </c>
      <c r="H57" s="82" t="b">
        <v>0</v>
      </c>
      <c r="I57" s="82" t="b">
        <v>0</v>
      </c>
      <c r="J57" s="94"/>
      <c r="K57" s="95"/>
      <c r="L57" s="20"/>
    </row>
    <row r="58" spans="2:12" ht="16.2" x14ac:dyDescent="0.3">
      <c r="B58" s="20"/>
      <c r="C58" s="198" t="s">
        <v>519</v>
      </c>
      <c r="D58" s="198"/>
      <c r="E58" s="198"/>
      <c r="F58" s="198"/>
      <c r="G58" s="87" t="s">
        <v>58</v>
      </c>
      <c r="H58" s="140" t="s">
        <v>59</v>
      </c>
      <c r="I58" s="140" t="s">
        <v>60</v>
      </c>
      <c r="J58" s="140"/>
      <c r="K58" s="88"/>
      <c r="L58" s="20"/>
    </row>
    <row r="59" spans="2:12" ht="14.7" customHeight="1" x14ac:dyDescent="0.3">
      <c r="B59" s="20"/>
      <c r="C59" s="198"/>
      <c r="D59" s="198"/>
      <c r="E59" s="198"/>
      <c r="F59" s="198"/>
      <c r="G59" s="89" t="b">
        <v>0</v>
      </c>
      <c r="H59" s="82" t="b">
        <v>0</v>
      </c>
      <c r="I59" s="82" t="b">
        <v>0</v>
      </c>
      <c r="J59" s="94"/>
      <c r="K59" s="95"/>
      <c r="L59" s="20"/>
    </row>
    <row r="60" spans="2:12" ht="16.2" x14ac:dyDescent="0.3">
      <c r="B60" s="20"/>
      <c r="C60" s="197" t="s">
        <v>520</v>
      </c>
      <c r="D60" s="197"/>
      <c r="E60" s="197"/>
      <c r="F60" s="197"/>
      <c r="G60" s="87" t="s">
        <v>58</v>
      </c>
      <c r="H60" s="140" t="s">
        <v>59</v>
      </c>
      <c r="I60" s="140" t="s">
        <v>60</v>
      </c>
      <c r="J60" s="140"/>
      <c r="K60" s="88"/>
      <c r="L60" s="20"/>
    </row>
    <row r="61" spans="2:12" ht="14.7" customHeight="1" x14ac:dyDescent="0.3">
      <c r="B61" s="20"/>
      <c r="C61" s="197"/>
      <c r="D61" s="197"/>
      <c r="E61" s="197"/>
      <c r="F61" s="197"/>
      <c r="G61" s="89" t="b">
        <v>0</v>
      </c>
      <c r="H61" s="82" t="b">
        <v>0</v>
      </c>
      <c r="I61" s="82" t="b">
        <v>0</v>
      </c>
      <c r="J61" s="94"/>
      <c r="K61" s="95"/>
      <c r="L61" s="20"/>
    </row>
    <row r="62" spans="2:12" ht="16.2" x14ac:dyDescent="0.3">
      <c r="B62" s="20"/>
      <c r="C62" s="197" t="s">
        <v>521</v>
      </c>
      <c r="D62" s="197"/>
      <c r="E62" s="197"/>
      <c r="F62" s="197"/>
      <c r="G62" s="87" t="s">
        <v>58</v>
      </c>
      <c r="H62" s="140" t="s">
        <v>59</v>
      </c>
      <c r="I62" s="140" t="s">
        <v>60</v>
      </c>
      <c r="J62" s="140"/>
      <c r="K62" s="88"/>
      <c r="L62" s="20"/>
    </row>
    <row r="63" spans="2:12" ht="14.7" customHeight="1" x14ac:dyDescent="0.3">
      <c r="B63" s="20"/>
      <c r="C63" s="197"/>
      <c r="D63" s="197"/>
      <c r="E63" s="197"/>
      <c r="F63" s="197"/>
      <c r="G63" s="89" t="b">
        <v>0</v>
      </c>
      <c r="H63" s="82" t="b">
        <v>0</v>
      </c>
      <c r="I63" s="82" t="b">
        <v>0</v>
      </c>
      <c r="J63" s="94"/>
      <c r="K63" s="95"/>
      <c r="L63" s="20"/>
    </row>
    <row r="64" spans="2:12" ht="16.2" x14ac:dyDescent="0.3">
      <c r="B64" s="20"/>
      <c r="C64" s="197" t="s">
        <v>522</v>
      </c>
      <c r="D64" s="197"/>
      <c r="E64" s="197"/>
      <c r="F64" s="197"/>
      <c r="G64" s="87" t="s">
        <v>58</v>
      </c>
      <c r="H64" s="140">
        <v>0</v>
      </c>
      <c r="I64" s="140">
        <v>1</v>
      </c>
      <c r="J64" s="140">
        <v>2</v>
      </c>
      <c r="K64" s="88">
        <v>3</v>
      </c>
      <c r="L64" s="20"/>
    </row>
    <row r="65" spans="2:12" ht="14.7" customHeight="1" x14ac:dyDescent="0.3">
      <c r="B65" s="20"/>
      <c r="C65" s="197"/>
      <c r="D65" s="197"/>
      <c r="E65" s="197"/>
      <c r="F65" s="197"/>
      <c r="G65" s="89" t="b">
        <v>0</v>
      </c>
      <c r="H65" s="82" t="b">
        <v>0</v>
      </c>
      <c r="I65" s="82" t="b">
        <v>0</v>
      </c>
      <c r="J65" s="82" t="b">
        <v>0</v>
      </c>
      <c r="K65" s="91" t="b">
        <v>0</v>
      </c>
      <c r="L65" s="20"/>
    </row>
    <row r="66" spans="2:12" ht="16.2" x14ac:dyDescent="0.3">
      <c r="B66" s="20"/>
      <c r="C66" s="197" t="s">
        <v>523</v>
      </c>
      <c r="D66" s="197"/>
      <c r="E66" s="197"/>
      <c r="F66" s="197"/>
      <c r="G66" s="87" t="s">
        <v>58</v>
      </c>
      <c r="H66" s="140">
        <v>0</v>
      </c>
      <c r="I66" s="140">
        <v>1</v>
      </c>
      <c r="J66" s="140">
        <v>2</v>
      </c>
      <c r="K66" s="88">
        <v>3</v>
      </c>
      <c r="L66" s="20"/>
    </row>
    <row r="67" spans="2:12" ht="14.7" customHeight="1" x14ac:dyDescent="0.3">
      <c r="B67" s="20"/>
      <c r="C67" s="197"/>
      <c r="D67" s="197"/>
      <c r="E67" s="197"/>
      <c r="F67" s="197"/>
      <c r="G67" s="89" t="b">
        <v>0</v>
      </c>
      <c r="H67" s="82" t="b">
        <v>0</v>
      </c>
      <c r="I67" s="82" t="b">
        <v>0</v>
      </c>
      <c r="J67" s="82" t="b">
        <v>0</v>
      </c>
      <c r="K67" s="91" t="b">
        <v>0</v>
      </c>
      <c r="L67" s="20"/>
    </row>
    <row r="68" spans="2:12" x14ac:dyDescent="0.3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2:12" x14ac:dyDescent="0.3">
      <c r="B69" s="29"/>
      <c r="C69" s="29"/>
      <c r="D69" s="29"/>
      <c r="E69" s="29"/>
      <c r="F69" s="31"/>
      <c r="G69" s="31"/>
      <c r="H69" s="31"/>
      <c r="I69" s="30"/>
      <c r="J69" s="30"/>
      <c r="K69" s="30"/>
      <c r="L69" s="30"/>
    </row>
    <row r="70" spans="2:12" x14ac:dyDescent="0.3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2:12" x14ac:dyDescent="0.3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</row>
    <row r="72" spans="2:12" x14ac:dyDescent="0.3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</row>
    <row r="73" spans="2:12" x14ac:dyDescent="0.3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</row>
  </sheetData>
  <sheetProtection sheet="1" objects="1" scenarios="1"/>
  <mergeCells count="30">
    <mergeCell ref="C66:F67"/>
    <mergeCell ref="C44:F45"/>
    <mergeCell ref="C46:F47"/>
    <mergeCell ref="C48:F49"/>
    <mergeCell ref="C50:F51"/>
    <mergeCell ref="C52:F53"/>
    <mergeCell ref="C54:F55"/>
    <mergeCell ref="C56:F57"/>
    <mergeCell ref="C58:F59"/>
    <mergeCell ref="C60:F61"/>
    <mergeCell ref="C62:F63"/>
    <mergeCell ref="C64:F65"/>
    <mergeCell ref="C42:F43"/>
    <mergeCell ref="C18:F19"/>
    <mergeCell ref="C21:F22"/>
    <mergeCell ref="C23:F24"/>
    <mergeCell ref="C25:F26"/>
    <mergeCell ref="C27:F28"/>
    <mergeCell ref="C29:F30"/>
    <mergeCell ref="C31:F32"/>
    <mergeCell ref="C33:F34"/>
    <mergeCell ref="C35:F36"/>
    <mergeCell ref="C38:F39"/>
    <mergeCell ref="C40:F41"/>
    <mergeCell ref="C16:F17"/>
    <mergeCell ref="F3:K5"/>
    <mergeCell ref="C8:I8"/>
    <mergeCell ref="C10:F11"/>
    <mergeCell ref="C12:F13"/>
    <mergeCell ref="C14:F15"/>
  </mergeCells>
  <conditionalFormatting sqref="C12">
    <cfRule type="expression" dxfId="115" priority="28">
      <formula>AND($G$13:$K$13=FALSE)</formula>
    </cfRule>
  </conditionalFormatting>
  <conditionalFormatting sqref="C14">
    <cfRule type="expression" dxfId="114" priority="26">
      <formula>AND($G$15:$K$15=FALSE)</formula>
    </cfRule>
  </conditionalFormatting>
  <conditionalFormatting sqref="C16">
    <cfRule type="expression" dxfId="113" priority="25">
      <formula>AND($G$17:$K$17=FALSE)</formula>
    </cfRule>
  </conditionalFormatting>
  <conditionalFormatting sqref="C18">
    <cfRule type="expression" dxfId="112" priority="24">
      <formula>AND($G$19:$K$19=FALSE)</formula>
    </cfRule>
  </conditionalFormatting>
  <conditionalFormatting sqref="C21">
    <cfRule type="expression" dxfId="111" priority="23">
      <formula>AND($G$22:$K$22=FALSE)</formula>
    </cfRule>
  </conditionalFormatting>
  <conditionalFormatting sqref="C23">
    <cfRule type="expression" dxfId="110" priority="20">
      <formula>AND($G$24:$K$24=FALSE)</formula>
    </cfRule>
  </conditionalFormatting>
  <conditionalFormatting sqref="C27">
    <cfRule type="expression" dxfId="109" priority="21">
      <formula>AND($G$28:$K$28=FALSE)</formula>
    </cfRule>
  </conditionalFormatting>
  <conditionalFormatting sqref="C29">
    <cfRule type="expression" dxfId="108" priority="19">
      <formula>AND($G$30:$K$30=FALSE)</formula>
    </cfRule>
  </conditionalFormatting>
  <conditionalFormatting sqref="C31">
    <cfRule type="expression" dxfId="107" priority="18">
      <formula>AND($G$32:$K$32=FALSE)</formula>
    </cfRule>
  </conditionalFormatting>
  <conditionalFormatting sqref="C33">
    <cfRule type="expression" dxfId="106" priority="17">
      <formula>AND($G$34:$K$34=FALSE)</formula>
    </cfRule>
  </conditionalFormatting>
  <conditionalFormatting sqref="C35">
    <cfRule type="expression" dxfId="105" priority="16">
      <formula>AND($G$36:$K$36=FALSE)</formula>
    </cfRule>
  </conditionalFormatting>
  <conditionalFormatting sqref="C38">
    <cfRule type="expression" dxfId="104" priority="15">
      <formula>AND($G$39:$K$39=FALSE)</formula>
    </cfRule>
  </conditionalFormatting>
  <conditionalFormatting sqref="C40">
    <cfRule type="expression" dxfId="103" priority="14">
      <formula>AND($G$41:$K$41=FALSE)</formula>
    </cfRule>
  </conditionalFormatting>
  <conditionalFormatting sqref="C42">
    <cfRule type="expression" dxfId="102" priority="13">
      <formula>AND($G$43:$K$43=FALSE)</formula>
    </cfRule>
  </conditionalFormatting>
  <conditionalFormatting sqref="C44">
    <cfRule type="expression" dxfId="101" priority="12">
      <formula>AND($G$45:$K$45=FALSE)</formula>
    </cfRule>
  </conditionalFormatting>
  <conditionalFormatting sqref="C46">
    <cfRule type="expression" dxfId="100" priority="11">
      <formula>AND($G$47:$K$47=FALSE)</formula>
    </cfRule>
  </conditionalFormatting>
  <conditionalFormatting sqref="C48">
    <cfRule type="expression" dxfId="99" priority="4">
      <formula>AND($G$49:$K$49=FALSE)</formula>
    </cfRule>
  </conditionalFormatting>
  <conditionalFormatting sqref="C50">
    <cfRule type="expression" dxfId="98" priority="10">
      <formula>AND($G$51:$K$51=FALSE)</formula>
    </cfRule>
  </conditionalFormatting>
  <conditionalFormatting sqref="C52">
    <cfRule type="expression" dxfId="97" priority="9">
      <formula>AND($G$53:$K$53=FALSE)</formula>
    </cfRule>
  </conditionalFormatting>
  <conditionalFormatting sqref="C54">
    <cfRule type="expression" dxfId="96" priority="8">
      <formula>AND($G$55:$K$55=FALSE)</formula>
    </cfRule>
  </conditionalFormatting>
  <conditionalFormatting sqref="C56">
    <cfRule type="expression" dxfId="95" priority="7">
      <formula>AND($G$57:$K$57=FALSE)</formula>
    </cfRule>
  </conditionalFormatting>
  <conditionalFormatting sqref="C58">
    <cfRule type="expression" dxfId="94" priority="6">
      <formula>AND($G$59:$K$59=FALSE)</formula>
    </cfRule>
  </conditionalFormatting>
  <conditionalFormatting sqref="C60">
    <cfRule type="expression" dxfId="93" priority="5">
      <formula>AND($G$61:$K$61=FALSE)</formula>
    </cfRule>
  </conditionalFormatting>
  <conditionalFormatting sqref="C62">
    <cfRule type="expression" dxfId="92" priority="3">
      <formula>AND($G$63:$K$63=FALSE)</formula>
    </cfRule>
  </conditionalFormatting>
  <conditionalFormatting sqref="C64">
    <cfRule type="expression" dxfId="91" priority="2">
      <formula>AND($G$65:$K$65=FALSE)</formula>
    </cfRule>
  </conditionalFormatting>
  <conditionalFormatting sqref="C66">
    <cfRule type="expression" dxfId="90" priority="1">
      <formula>AND($G$67:$K$67=FALSE)</formula>
    </cfRule>
  </conditionalFormatting>
  <conditionalFormatting sqref="C10:F11">
    <cfRule type="expression" dxfId="89" priority="27">
      <formula>AND($G$11:$I$11=FALSE)</formula>
    </cfRule>
  </conditionalFormatting>
  <conditionalFormatting sqref="C25:F26">
    <cfRule type="expression" dxfId="88" priority="22">
      <formula>AND($G$26:$K$26=FALSE)</formula>
    </cfRule>
  </conditionalFormatting>
  <pageMargins left="0.7" right="0.7" top="0.75" bottom="0.75" header="0.3" footer="0.3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DCA3-2F0A-4651-9688-46C1E730FDCC}">
  <sheetPr codeName="Feuil8"/>
  <dimension ref="B2:M40"/>
  <sheetViews>
    <sheetView tabSelected="1" view="pageBreakPreview" topLeftCell="A14" zoomScale="85" zoomScaleNormal="106" zoomScaleSheetLayoutView="85" zoomScalePageLayoutView="89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92" t="s">
        <v>827</v>
      </c>
      <c r="G3" s="192"/>
      <c r="H3" s="192"/>
      <c r="I3" s="192"/>
      <c r="J3" s="192"/>
      <c r="K3" s="192"/>
      <c r="L3" s="20"/>
      <c r="M3" s="23"/>
    </row>
    <row r="4" spans="2:13" ht="18" customHeight="1" x14ac:dyDescent="0.3">
      <c r="B4" s="20"/>
      <c r="C4" s="20"/>
      <c r="D4" s="20"/>
      <c r="E4" s="20"/>
      <c r="F4" s="192"/>
      <c r="G4" s="192"/>
      <c r="H4" s="192"/>
      <c r="I4" s="192"/>
      <c r="J4" s="192"/>
      <c r="K4" s="192"/>
      <c r="L4" s="20"/>
    </row>
    <row r="5" spans="2:13" x14ac:dyDescent="0.3">
      <c r="B5" s="20"/>
      <c r="C5" s="20"/>
      <c r="D5" s="20"/>
      <c r="E5" s="20"/>
      <c r="F5" s="192"/>
      <c r="G5" s="192"/>
      <c r="H5" s="192"/>
      <c r="I5" s="192"/>
      <c r="J5" s="192"/>
      <c r="K5" s="192"/>
      <c r="L5" s="20"/>
    </row>
    <row r="6" spans="2:13" ht="18" x14ac:dyDescent="0.4">
      <c r="B6" s="20"/>
      <c r="C6" s="21"/>
      <c r="D6" s="21"/>
      <c r="E6" s="28"/>
      <c r="F6" s="21"/>
      <c r="G6" s="21"/>
      <c r="H6" s="21"/>
      <c r="I6" s="20"/>
      <c r="J6" s="20"/>
      <c r="K6" s="21"/>
      <c r="L6" s="20"/>
      <c r="M6" s="24"/>
    </row>
    <row r="7" spans="2:13" ht="14.7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x14ac:dyDescent="0.3">
      <c r="B8" s="20"/>
      <c r="C8" s="20"/>
      <c r="D8" s="20"/>
      <c r="E8" s="28"/>
      <c r="F8" s="28"/>
      <c r="G8" s="28"/>
      <c r="H8" s="20"/>
      <c r="I8" s="20"/>
      <c r="J8" s="20"/>
      <c r="K8" s="20"/>
      <c r="L8" s="20"/>
    </row>
    <row r="9" spans="2:13" ht="14.7" customHeight="1" x14ac:dyDescent="0.3">
      <c r="B9" s="20"/>
      <c r="C9" s="193" t="s">
        <v>830</v>
      </c>
      <c r="D9" s="193"/>
      <c r="E9" s="193"/>
      <c r="F9" s="193"/>
      <c r="G9" s="193"/>
      <c r="H9" s="193"/>
      <c r="I9" s="193"/>
      <c r="J9" s="193"/>
      <c r="K9" s="193"/>
      <c r="L9" s="20"/>
    </row>
    <row r="10" spans="2:13" x14ac:dyDescent="0.3">
      <c r="B10" s="20"/>
      <c r="C10" s="193"/>
      <c r="D10" s="193"/>
      <c r="E10" s="193"/>
      <c r="F10" s="193"/>
      <c r="G10" s="193"/>
      <c r="H10" s="193"/>
      <c r="I10" s="193"/>
      <c r="J10" s="193"/>
      <c r="K10" s="193"/>
      <c r="L10" s="20"/>
    </row>
    <row r="11" spans="2:13" ht="21.6" customHeight="1" x14ac:dyDescent="0.3">
      <c r="B11" s="20"/>
      <c r="C11" s="193"/>
      <c r="D11" s="193"/>
      <c r="E11" s="193"/>
      <c r="F11" s="193"/>
      <c r="G11" s="193"/>
      <c r="H11" s="193"/>
      <c r="I11" s="193"/>
      <c r="J11" s="193"/>
      <c r="K11" s="193"/>
      <c r="L11" s="20"/>
    </row>
    <row r="12" spans="2:13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2:13" ht="16.8" x14ac:dyDescent="0.4">
      <c r="B13" s="20"/>
      <c r="C13" s="188" t="s">
        <v>42</v>
      </c>
      <c r="D13" s="188"/>
      <c r="E13" s="188"/>
      <c r="F13" s="20"/>
      <c r="G13" s="20"/>
      <c r="H13" s="20"/>
      <c r="I13" s="20"/>
      <c r="J13" s="20"/>
      <c r="K13" s="20"/>
      <c r="L13" s="20"/>
    </row>
    <row r="14" spans="2:13" ht="16.8" x14ac:dyDescent="0.3">
      <c r="B14" s="20"/>
      <c r="C14" s="190" t="s">
        <v>43</v>
      </c>
      <c r="D14" s="190"/>
      <c r="E14" s="190"/>
      <c r="F14" s="190"/>
      <c r="G14" s="190"/>
      <c r="H14" s="190"/>
      <c r="I14" s="190"/>
      <c r="J14" s="190"/>
      <c r="K14" s="190"/>
      <c r="L14" s="20"/>
    </row>
    <row r="15" spans="2:13" ht="104.1" customHeight="1" x14ac:dyDescent="0.3">
      <c r="B15" s="20"/>
      <c r="C15" s="190" t="s">
        <v>44</v>
      </c>
      <c r="D15" s="190"/>
      <c r="E15" s="190"/>
      <c r="F15" s="190"/>
      <c r="G15" s="190"/>
      <c r="H15" s="190"/>
      <c r="I15" s="190"/>
      <c r="J15" s="190"/>
      <c r="K15" s="190"/>
      <c r="L15" s="20"/>
    </row>
    <row r="16" spans="2:13" ht="16.8" x14ac:dyDescent="0.4">
      <c r="B16" s="20"/>
      <c r="C16" s="188" t="s">
        <v>45</v>
      </c>
      <c r="D16" s="188"/>
      <c r="E16" s="188"/>
      <c r="F16" s="20"/>
      <c r="G16" s="20"/>
      <c r="H16" s="20"/>
      <c r="I16" s="20"/>
      <c r="J16" s="20"/>
      <c r="K16" s="20"/>
      <c r="L16" s="20"/>
    </row>
    <row r="17" spans="2:12" ht="17.100000000000001" customHeight="1" x14ac:dyDescent="0.3">
      <c r="B17" s="20"/>
      <c r="C17" s="20"/>
      <c r="D17" s="191" t="s">
        <v>46</v>
      </c>
      <c r="E17" s="191"/>
      <c r="F17" s="191"/>
      <c r="G17" s="191"/>
      <c r="H17" s="191"/>
      <c r="I17" s="191"/>
      <c r="J17" s="191"/>
      <c r="K17" s="191"/>
      <c r="L17" s="20"/>
    </row>
    <row r="18" spans="2:12" ht="17.100000000000001" customHeight="1" x14ac:dyDescent="0.3">
      <c r="B18" s="20"/>
      <c r="C18" s="20"/>
      <c r="D18" s="191" t="s">
        <v>47</v>
      </c>
      <c r="E18" s="191"/>
      <c r="F18" s="191"/>
      <c r="G18" s="191"/>
      <c r="H18" s="191"/>
      <c r="I18" s="191"/>
      <c r="J18" s="191"/>
      <c r="K18" s="191"/>
      <c r="L18" s="20"/>
    </row>
    <row r="19" spans="2:12" s="33" customFormat="1" ht="35.700000000000003" customHeight="1" x14ac:dyDescent="0.3">
      <c r="B19" s="20"/>
      <c r="C19" s="20"/>
      <c r="D19" s="191" t="s">
        <v>48</v>
      </c>
      <c r="E19" s="191"/>
      <c r="F19" s="191"/>
      <c r="G19" s="191"/>
      <c r="H19" s="191"/>
      <c r="I19" s="191"/>
      <c r="J19" s="191"/>
      <c r="K19" s="191"/>
      <c r="L19" s="27"/>
    </row>
    <row r="20" spans="2:12" s="33" customFormat="1" ht="11.1" customHeight="1" x14ac:dyDescent="0.3">
      <c r="B20" s="20"/>
      <c r="C20" s="20"/>
      <c r="D20" s="141"/>
      <c r="E20" s="141"/>
      <c r="F20" s="141"/>
      <c r="G20" s="141"/>
      <c r="H20" s="141"/>
      <c r="I20" s="141"/>
      <c r="J20" s="141"/>
      <c r="K20" s="141"/>
      <c r="L20" s="27"/>
    </row>
    <row r="21" spans="2:12" ht="16.8" x14ac:dyDescent="0.4">
      <c r="B21" s="20"/>
      <c r="C21" s="188" t="s">
        <v>49</v>
      </c>
      <c r="D21" s="188"/>
      <c r="E21" s="188"/>
      <c r="F21" s="20"/>
      <c r="G21" s="20"/>
      <c r="H21" s="20"/>
      <c r="I21" s="20"/>
      <c r="J21" s="20"/>
      <c r="K21" s="20"/>
      <c r="L21" s="20"/>
    </row>
    <row r="22" spans="2:12" ht="16.8" x14ac:dyDescent="0.4">
      <c r="B22" s="20"/>
      <c r="C22" s="188" t="s">
        <v>50</v>
      </c>
      <c r="D22" s="188"/>
      <c r="E22" s="188"/>
      <c r="F22" s="20"/>
      <c r="G22" s="20"/>
      <c r="H22" s="20"/>
      <c r="I22" s="20"/>
      <c r="J22" s="20"/>
      <c r="K22" s="20"/>
      <c r="L22" s="20"/>
    </row>
    <row r="23" spans="2:12" ht="17.100000000000001" customHeight="1" x14ac:dyDescent="0.3">
      <c r="B23" s="20"/>
      <c r="C23" s="20"/>
      <c r="D23" s="190" t="s">
        <v>51</v>
      </c>
      <c r="E23" s="190"/>
      <c r="F23" s="190"/>
      <c r="G23" s="190"/>
      <c r="H23" s="190"/>
      <c r="I23" s="190"/>
      <c r="J23" s="190"/>
      <c r="K23" s="190"/>
      <c r="L23" s="20"/>
    </row>
    <row r="24" spans="2:12" s="33" customFormat="1" ht="35.700000000000003" customHeight="1" x14ac:dyDescent="0.3">
      <c r="B24" s="27"/>
      <c r="C24" s="20"/>
      <c r="D24" s="190" t="s">
        <v>52</v>
      </c>
      <c r="E24" s="190"/>
      <c r="F24" s="190"/>
      <c r="G24" s="190"/>
      <c r="H24" s="190"/>
      <c r="I24" s="190"/>
      <c r="J24" s="190"/>
      <c r="K24" s="190"/>
      <c r="L24" s="27"/>
    </row>
    <row r="25" spans="2:12" ht="16.8" x14ac:dyDescent="0.4">
      <c r="B25" s="20"/>
      <c r="C25" s="188" t="s">
        <v>53</v>
      </c>
      <c r="D25" s="188"/>
      <c r="E25" s="188"/>
      <c r="F25" s="20"/>
      <c r="G25" s="20"/>
      <c r="H25" s="20"/>
      <c r="I25" s="20"/>
      <c r="J25" s="20"/>
      <c r="K25" s="20"/>
      <c r="L25" s="20"/>
    </row>
    <row r="26" spans="2:12" ht="34.35" customHeight="1" x14ac:dyDescent="0.3">
      <c r="B26" s="20"/>
      <c r="C26" s="20"/>
      <c r="D26" s="190" t="s">
        <v>54</v>
      </c>
      <c r="E26" s="190"/>
      <c r="F26" s="190"/>
      <c r="G26" s="190"/>
      <c r="H26" s="190"/>
      <c r="I26" s="190"/>
      <c r="J26" s="190"/>
      <c r="K26" s="190"/>
      <c r="L26" s="20"/>
    </row>
    <row r="27" spans="2:12" ht="32.700000000000003" customHeight="1" x14ac:dyDescent="0.3">
      <c r="B27" s="20"/>
      <c r="C27" s="20"/>
      <c r="D27" s="190" t="s">
        <v>55</v>
      </c>
      <c r="E27" s="190"/>
      <c r="F27" s="190"/>
      <c r="G27" s="190"/>
      <c r="H27" s="190"/>
      <c r="I27" s="190"/>
      <c r="J27" s="190"/>
      <c r="K27" s="190"/>
      <c r="L27" s="20"/>
    </row>
    <row r="28" spans="2:12" ht="11.1" customHeight="1" x14ac:dyDescent="0.3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2:12" ht="16.8" x14ac:dyDescent="0.4">
      <c r="B29" s="20"/>
      <c r="C29" s="32" t="s">
        <v>56</v>
      </c>
      <c r="D29" s="20"/>
      <c r="E29" s="20"/>
      <c r="F29" s="20"/>
      <c r="G29" s="20"/>
      <c r="H29" s="20"/>
      <c r="I29" s="20"/>
      <c r="J29" s="20"/>
      <c r="K29" s="20"/>
      <c r="L29" s="20"/>
    </row>
    <row r="30" spans="2:12" ht="17.100000000000001" customHeight="1" x14ac:dyDescent="0.3">
      <c r="B30" s="20"/>
      <c r="C30" s="189" t="s">
        <v>57</v>
      </c>
      <c r="D30" s="189"/>
      <c r="E30" s="189"/>
      <c r="F30" s="189"/>
      <c r="G30" s="26" t="s">
        <v>58</v>
      </c>
      <c r="H30" s="25" t="s">
        <v>59</v>
      </c>
      <c r="I30" s="25" t="s">
        <v>60</v>
      </c>
      <c r="J30" s="20"/>
      <c r="K30" s="20"/>
      <c r="L30" s="20"/>
    </row>
    <row r="31" spans="2:12" x14ac:dyDescent="0.3">
      <c r="B31" s="20"/>
      <c r="C31" s="189"/>
      <c r="D31" s="189"/>
      <c r="E31" s="189"/>
      <c r="F31" s="189"/>
      <c r="G31" s="36" t="b">
        <v>0</v>
      </c>
      <c r="H31" s="37" t="b">
        <v>0</v>
      </c>
      <c r="I31" s="37" t="b">
        <v>0</v>
      </c>
      <c r="J31" s="38"/>
      <c r="K31" s="20"/>
      <c r="L31" s="20"/>
    </row>
    <row r="32" spans="2:12" ht="16.2" x14ac:dyDescent="0.3">
      <c r="B32" s="20"/>
      <c r="C32" s="189" t="s">
        <v>61</v>
      </c>
      <c r="D32" s="189"/>
      <c r="E32" s="189"/>
      <c r="F32" s="189"/>
      <c r="G32" s="26" t="s">
        <v>58</v>
      </c>
      <c r="H32" s="25">
        <v>0</v>
      </c>
      <c r="I32" s="25">
        <v>1</v>
      </c>
      <c r="J32" s="25">
        <v>2</v>
      </c>
      <c r="K32" s="25">
        <v>3</v>
      </c>
      <c r="L32" s="20"/>
    </row>
    <row r="33" spans="2:12" x14ac:dyDescent="0.3">
      <c r="B33" s="20"/>
      <c r="C33" s="189"/>
      <c r="D33" s="189"/>
      <c r="E33" s="189"/>
      <c r="F33" s="189"/>
      <c r="G33" s="36" t="b">
        <v>0</v>
      </c>
      <c r="H33" s="37" t="b">
        <v>0</v>
      </c>
      <c r="I33" s="37" t="b">
        <v>0</v>
      </c>
      <c r="J33" s="37" t="b">
        <v>0</v>
      </c>
      <c r="K33" s="37" t="b">
        <v>0</v>
      </c>
      <c r="L33" s="20"/>
    </row>
    <row r="34" spans="2:12" x14ac:dyDescent="0.3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2" x14ac:dyDescent="0.3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2:12" x14ac:dyDescent="0.3">
      <c r="B36" s="29"/>
      <c r="C36" s="29"/>
      <c r="D36" s="29"/>
      <c r="E36" s="29"/>
      <c r="F36" s="31"/>
      <c r="G36" s="31"/>
      <c r="H36" s="31"/>
      <c r="I36" s="30"/>
      <c r="J36" s="30"/>
      <c r="K36" s="30"/>
      <c r="L36" s="30"/>
    </row>
    <row r="37" spans="2:12" x14ac:dyDescent="0.3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 x14ac:dyDescent="0.3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2:12" x14ac:dyDescent="0.3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2" x14ac:dyDescent="0.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</sheetData>
  <mergeCells count="18">
    <mergeCell ref="F3:K5"/>
    <mergeCell ref="C9:K11"/>
    <mergeCell ref="C14:K14"/>
    <mergeCell ref="C15:K15"/>
    <mergeCell ref="C13:E13"/>
    <mergeCell ref="C16:E16"/>
    <mergeCell ref="D17:K17"/>
    <mergeCell ref="D18:K18"/>
    <mergeCell ref="D19:K19"/>
    <mergeCell ref="C21:E21"/>
    <mergeCell ref="C22:E22"/>
    <mergeCell ref="C30:F31"/>
    <mergeCell ref="C32:F33"/>
    <mergeCell ref="D24:K24"/>
    <mergeCell ref="D23:K23"/>
    <mergeCell ref="C25:E25"/>
    <mergeCell ref="D26:K26"/>
    <mergeCell ref="D27:K27"/>
  </mergeCells>
  <conditionalFormatting sqref="C30:F31">
    <cfRule type="expression" dxfId="489" priority="2">
      <formula>AND($G$31:$I$31=FALSE)</formula>
    </cfRule>
  </conditionalFormatting>
  <conditionalFormatting sqref="C32:F33">
    <cfRule type="expression" dxfId="488" priority="1">
      <formula>AND($G$33:$K$33=FALSE)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EA81-2354-4B07-A7E4-138BA512B2B9}">
  <sheetPr codeName="Feuil33"/>
  <dimension ref="B2:M65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524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525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5.700000000000003" customHeight="1" x14ac:dyDescent="0.3">
      <c r="B10" s="20"/>
      <c r="C10" s="198" t="s">
        <v>526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527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528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529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185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2" x14ac:dyDescent="0.3">
      <c r="B20" s="20"/>
      <c r="C20" s="210" t="s">
        <v>530</v>
      </c>
      <c r="D20" s="211"/>
      <c r="E20" s="211"/>
      <c r="F20" s="212"/>
      <c r="G20" s="87" t="s">
        <v>58</v>
      </c>
      <c r="H20" s="140">
        <v>0</v>
      </c>
      <c r="I20" s="140">
        <v>1</v>
      </c>
      <c r="J20" s="140">
        <v>2</v>
      </c>
      <c r="K20" s="88">
        <v>3</v>
      </c>
      <c r="L20" s="20"/>
    </row>
    <row r="21" spans="2:12" ht="14.7" customHeight="1" x14ac:dyDescent="0.3">
      <c r="B21" s="20"/>
      <c r="C21" s="213"/>
      <c r="D21" s="214"/>
      <c r="E21" s="214"/>
      <c r="F21" s="215"/>
      <c r="G21" s="89" t="b">
        <v>0</v>
      </c>
      <c r="H21" s="82" t="b">
        <v>0</v>
      </c>
      <c r="I21" s="82" t="b">
        <v>0</v>
      </c>
      <c r="J21" s="82" t="b">
        <v>0</v>
      </c>
      <c r="K21" s="91" t="b">
        <v>0</v>
      </c>
      <c r="L21" s="20"/>
    </row>
    <row r="22" spans="2:12" ht="16.2" x14ac:dyDescent="0.3">
      <c r="B22" s="20"/>
      <c r="C22" s="198" t="s">
        <v>531</v>
      </c>
      <c r="D22" s="198"/>
      <c r="E22" s="198"/>
      <c r="F22" s="198"/>
      <c r="G22" s="87" t="s">
        <v>58</v>
      </c>
      <c r="H22" s="140">
        <v>0</v>
      </c>
      <c r="I22" s="140">
        <v>1</v>
      </c>
      <c r="J22" s="140">
        <v>2</v>
      </c>
      <c r="K22" s="88">
        <v>3</v>
      </c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2" t="b">
        <v>0</v>
      </c>
      <c r="K23" s="91" t="b">
        <v>0</v>
      </c>
      <c r="L23" s="20"/>
    </row>
    <row r="24" spans="2:12" ht="16.2" x14ac:dyDescent="0.3">
      <c r="B24" s="20"/>
      <c r="C24" s="198" t="s">
        <v>532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24" customHeight="1" x14ac:dyDescent="0.4">
      <c r="B26" s="20"/>
      <c r="C26" s="22" t="s">
        <v>533</v>
      </c>
      <c r="D26" s="22"/>
      <c r="E26" s="22"/>
      <c r="F26" s="20"/>
      <c r="G26" s="20"/>
      <c r="H26" s="20"/>
      <c r="I26" s="20"/>
      <c r="J26" s="21"/>
      <c r="K26" s="21"/>
      <c r="L26" s="20"/>
    </row>
    <row r="27" spans="2:12" ht="16.2" x14ac:dyDescent="0.3">
      <c r="B27" s="20"/>
      <c r="C27" s="198" t="s">
        <v>534</v>
      </c>
      <c r="D27" s="198"/>
      <c r="E27" s="198"/>
      <c r="F27" s="198"/>
      <c r="G27" s="87" t="s">
        <v>58</v>
      </c>
      <c r="H27" s="140" t="s">
        <v>59</v>
      </c>
      <c r="I27" s="140" t="s">
        <v>60</v>
      </c>
      <c r="J27" s="140"/>
      <c r="K27" s="88"/>
      <c r="L27" s="20"/>
    </row>
    <row r="28" spans="2:12" ht="14.7" customHeight="1" x14ac:dyDescent="0.3">
      <c r="B28" s="20"/>
      <c r="C28" s="198"/>
      <c r="D28" s="198"/>
      <c r="E28" s="198"/>
      <c r="F28" s="198"/>
      <c r="G28" s="89" t="b">
        <v>0</v>
      </c>
      <c r="H28" s="82" t="b">
        <v>0</v>
      </c>
      <c r="I28" s="82" t="b">
        <v>0</v>
      </c>
      <c r="J28" s="94"/>
      <c r="K28" s="95"/>
      <c r="L28" s="20"/>
    </row>
    <row r="29" spans="2:12" ht="16.2" x14ac:dyDescent="0.3">
      <c r="B29" s="20"/>
      <c r="C29" s="198" t="s">
        <v>535</v>
      </c>
      <c r="D29" s="198"/>
      <c r="E29" s="198"/>
      <c r="F29" s="198"/>
      <c r="G29" s="87" t="s">
        <v>58</v>
      </c>
      <c r="H29" s="140" t="s">
        <v>59</v>
      </c>
      <c r="I29" s="140" t="s">
        <v>60</v>
      </c>
      <c r="J29" s="140"/>
      <c r="K29" s="88"/>
      <c r="L29" s="20"/>
    </row>
    <row r="30" spans="2:12" ht="14.7" customHeight="1" x14ac:dyDescent="0.3">
      <c r="B30" s="20"/>
      <c r="C30" s="198"/>
      <c r="D30" s="198"/>
      <c r="E30" s="198"/>
      <c r="F30" s="198"/>
      <c r="G30" s="89" t="b">
        <v>0</v>
      </c>
      <c r="H30" s="82" t="b">
        <v>0</v>
      </c>
      <c r="I30" s="82" t="b">
        <v>0</v>
      </c>
      <c r="J30" s="94"/>
      <c r="K30" s="95"/>
      <c r="L30" s="20"/>
    </row>
    <row r="31" spans="2:12" ht="16.2" x14ac:dyDescent="0.3">
      <c r="B31" s="20"/>
      <c r="C31" s="198" t="s">
        <v>536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94"/>
      <c r="K32" s="95"/>
      <c r="L32" s="20"/>
    </row>
    <row r="33" spans="2:12" ht="16.2" x14ac:dyDescent="0.3">
      <c r="B33" s="20"/>
      <c r="C33" s="198" t="s">
        <v>537</v>
      </c>
      <c r="D33" s="198"/>
      <c r="E33" s="198"/>
      <c r="F33" s="198"/>
      <c r="G33" s="87" t="s">
        <v>58</v>
      </c>
      <c r="H33" s="140" t="s">
        <v>59</v>
      </c>
      <c r="I33" s="140" t="s">
        <v>60</v>
      </c>
      <c r="J33" s="140"/>
      <c r="K33" s="88"/>
      <c r="L33" s="20"/>
    </row>
    <row r="34" spans="2:12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94"/>
      <c r="K34" s="95"/>
      <c r="L34" s="20"/>
    </row>
    <row r="35" spans="2:12" ht="16.2" x14ac:dyDescent="0.3">
      <c r="B35" s="20"/>
      <c r="C35" s="198" t="s">
        <v>538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140"/>
      <c r="K35" s="88"/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94"/>
      <c r="K36" s="95"/>
      <c r="L36" s="20"/>
    </row>
    <row r="37" spans="2:12" ht="16.2" x14ac:dyDescent="0.3">
      <c r="B37" s="20"/>
      <c r="C37" s="198" t="s">
        <v>539</v>
      </c>
      <c r="D37" s="198"/>
      <c r="E37" s="198"/>
      <c r="F37" s="198"/>
      <c r="G37" s="87" t="s">
        <v>58</v>
      </c>
      <c r="H37" s="140" t="s">
        <v>59</v>
      </c>
      <c r="I37" s="140" t="s">
        <v>60</v>
      </c>
      <c r="J37" s="140"/>
      <c r="K37" s="88"/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94"/>
      <c r="K38" s="95"/>
      <c r="L38" s="20"/>
    </row>
    <row r="39" spans="2:12" ht="16.2" x14ac:dyDescent="0.3">
      <c r="B39" s="20"/>
      <c r="C39" s="198" t="s">
        <v>540</v>
      </c>
      <c r="D39" s="198"/>
      <c r="E39" s="198"/>
      <c r="F39" s="198"/>
      <c r="G39" s="87" t="s">
        <v>58</v>
      </c>
      <c r="H39" s="140">
        <v>0</v>
      </c>
      <c r="I39" s="140">
        <v>1</v>
      </c>
      <c r="J39" s="140">
        <v>2</v>
      </c>
      <c r="K39" s="88">
        <v>3</v>
      </c>
      <c r="L39" s="20"/>
    </row>
    <row r="40" spans="2:12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82" t="b">
        <v>0</v>
      </c>
      <c r="K40" s="91" t="b">
        <v>0</v>
      </c>
      <c r="L40" s="20"/>
    </row>
    <row r="41" spans="2:12" ht="16.2" x14ac:dyDescent="0.3">
      <c r="B41" s="20"/>
      <c r="C41" s="198" t="s">
        <v>541</v>
      </c>
      <c r="D41" s="198"/>
      <c r="E41" s="198"/>
      <c r="F41" s="198"/>
      <c r="G41" s="87" t="s">
        <v>58</v>
      </c>
      <c r="H41" s="140">
        <v>0</v>
      </c>
      <c r="I41" s="140">
        <v>1</v>
      </c>
      <c r="J41" s="140">
        <v>2</v>
      </c>
      <c r="K41" s="88">
        <v>3</v>
      </c>
      <c r="L41" s="20"/>
    </row>
    <row r="42" spans="2:12" ht="14.7" customHeight="1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82" t="b">
        <v>0</v>
      </c>
      <c r="K42" s="91" t="b">
        <v>0</v>
      </c>
      <c r="L42" s="20"/>
    </row>
    <row r="43" spans="2:12" ht="24" customHeight="1" x14ac:dyDescent="0.4">
      <c r="B43" s="20"/>
      <c r="C43" s="22" t="s">
        <v>542</v>
      </c>
      <c r="D43" s="22"/>
      <c r="E43" s="22"/>
      <c r="F43" s="20"/>
      <c r="G43" s="20"/>
      <c r="H43" s="20"/>
      <c r="I43" s="20"/>
      <c r="J43" s="21"/>
      <c r="K43" s="21"/>
      <c r="L43" s="20"/>
    </row>
    <row r="44" spans="2:12" ht="33.6" customHeight="1" x14ac:dyDescent="0.3">
      <c r="B44" s="20"/>
      <c r="C44" s="198" t="s">
        <v>543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88"/>
      <c r="L44" s="20"/>
    </row>
    <row r="45" spans="2:12" ht="14.7" customHeight="1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5"/>
      <c r="L45" s="20"/>
    </row>
    <row r="46" spans="2:12" ht="16.2" x14ac:dyDescent="0.3">
      <c r="B46" s="20"/>
      <c r="C46" s="198" t="s">
        <v>544</v>
      </c>
      <c r="D46" s="198"/>
      <c r="E46" s="198"/>
      <c r="F46" s="198"/>
      <c r="G46" s="87" t="s">
        <v>58</v>
      </c>
      <c r="H46" s="140" t="s">
        <v>59</v>
      </c>
      <c r="I46" s="140" t="s">
        <v>60</v>
      </c>
      <c r="J46" s="140"/>
      <c r="K46" s="88"/>
      <c r="L46" s="20"/>
    </row>
    <row r="47" spans="2:12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94"/>
      <c r="K47" s="95"/>
      <c r="L47" s="20"/>
    </row>
    <row r="48" spans="2:12" ht="16.2" x14ac:dyDescent="0.3">
      <c r="B48" s="20"/>
      <c r="C48" s="198" t="s">
        <v>545</v>
      </c>
      <c r="D48" s="198"/>
      <c r="E48" s="198"/>
      <c r="F48" s="198"/>
      <c r="G48" s="87" t="s">
        <v>58</v>
      </c>
      <c r="H48" s="140" t="s">
        <v>59</v>
      </c>
      <c r="I48" s="140" t="s">
        <v>60</v>
      </c>
      <c r="J48" s="140"/>
      <c r="K48" s="88"/>
      <c r="L48" s="20"/>
    </row>
    <row r="49" spans="2:12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94"/>
      <c r="K49" s="95"/>
      <c r="L49" s="20"/>
    </row>
    <row r="50" spans="2:12" ht="16.2" x14ac:dyDescent="0.3">
      <c r="B50" s="20"/>
      <c r="C50" s="198" t="s">
        <v>546</v>
      </c>
      <c r="D50" s="198"/>
      <c r="E50" s="198"/>
      <c r="F50" s="198"/>
      <c r="G50" s="87" t="s">
        <v>58</v>
      </c>
      <c r="H50" s="140" t="s">
        <v>59</v>
      </c>
      <c r="I50" s="140" t="s">
        <v>60</v>
      </c>
      <c r="J50" s="140"/>
      <c r="K50" s="88"/>
      <c r="L50" s="20"/>
    </row>
    <row r="51" spans="2:12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94"/>
      <c r="K51" s="95"/>
      <c r="L51" s="20"/>
    </row>
    <row r="52" spans="2:12" ht="16.2" x14ac:dyDescent="0.3">
      <c r="B52" s="20"/>
      <c r="C52" s="198" t="s">
        <v>547</v>
      </c>
      <c r="D52" s="198"/>
      <c r="E52" s="198"/>
      <c r="F52" s="198"/>
      <c r="G52" s="87" t="s">
        <v>58</v>
      </c>
      <c r="H52" s="140" t="s">
        <v>59</v>
      </c>
      <c r="I52" s="140" t="s">
        <v>60</v>
      </c>
      <c r="J52" s="140"/>
      <c r="K52" s="88"/>
      <c r="L52" s="20"/>
    </row>
    <row r="53" spans="2:12" ht="14.7" customHeight="1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94"/>
      <c r="K53" s="95"/>
      <c r="L53" s="20"/>
    </row>
    <row r="54" spans="2:12" ht="16.2" x14ac:dyDescent="0.3">
      <c r="B54" s="20"/>
      <c r="C54" s="198" t="s">
        <v>548</v>
      </c>
      <c r="D54" s="198"/>
      <c r="E54" s="198"/>
      <c r="F54" s="198"/>
      <c r="G54" s="87" t="s">
        <v>58</v>
      </c>
      <c r="H54" s="140" t="s">
        <v>59</v>
      </c>
      <c r="I54" s="140" t="s">
        <v>60</v>
      </c>
      <c r="J54" s="140"/>
      <c r="K54" s="88"/>
      <c r="L54" s="20"/>
    </row>
    <row r="55" spans="2:12" ht="14.7" customHeight="1" x14ac:dyDescent="0.3">
      <c r="B55" s="20"/>
      <c r="C55" s="198"/>
      <c r="D55" s="198"/>
      <c r="E55" s="198"/>
      <c r="F55" s="198"/>
      <c r="G55" s="89" t="b">
        <v>0</v>
      </c>
      <c r="H55" s="82" t="b">
        <v>0</v>
      </c>
      <c r="I55" s="82" t="b">
        <v>0</v>
      </c>
      <c r="J55" s="94"/>
      <c r="K55" s="95"/>
      <c r="L55" s="20"/>
    </row>
    <row r="56" spans="2:12" ht="16.2" x14ac:dyDescent="0.3">
      <c r="B56" s="20"/>
      <c r="C56" s="197" t="s">
        <v>549</v>
      </c>
      <c r="D56" s="197"/>
      <c r="E56" s="197"/>
      <c r="F56" s="197"/>
      <c r="G56" s="87" t="s">
        <v>58</v>
      </c>
      <c r="H56" s="140">
        <v>0</v>
      </c>
      <c r="I56" s="140">
        <v>1</v>
      </c>
      <c r="J56" s="140">
        <v>2</v>
      </c>
      <c r="K56" s="88">
        <v>3</v>
      </c>
      <c r="L56" s="20"/>
    </row>
    <row r="57" spans="2:12" ht="14.7" customHeight="1" x14ac:dyDescent="0.3">
      <c r="B57" s="20"/>
      <c r="C57" s="197"/>
      <c r="D57" s="197"/>
      <c r="E57" s="197"/>
      <c r="F57" s="197"/>
      <c r="G57" s="89" t="b">
        <v>0</v>
      </c>
      <c r="H57" s="82" t="b">
        <v>0</v>
      </c>
      <c r="I57" s="82" t="b">
        <v>0</v>
      </c>
      <c r="J57" s="82" t="b">
        <v>0</v>
      </c>
      <c r="K57" s="91" t="b">
        <v>0</v>
      </c>
      <c r="L57" s="20"/>
    </row>
    <row r="58" spans="2:12" ht="16.2" x14ac:dyDescent="0.3">
      <c r="B58" s="20"/>
      <c r="C58" s="197" t="s">
        <v>550</v>
      </c>
      <c r="D58" s="197"/>
      <c r="E58" s="197"/>
      <c r="F58" s="197"/>
      <c r="G58" s="87" t="s">
        <v>58</v>
      </c>
      <c r="H58" s="140">
        <v>0</v>
      </c>
      <c r="I58" s="140">
        <v>1</v>
      </c>
      <c r="J58" s="140">
        <v>2</v>
      </c>
      <c r="K58" s="88">
        <v>3</v>
      </c>
      <c r="L58" s="20"/>
    </row>
    <row r="59" spans="2:12" ht="14.7" customHeight="1" x14ac:dyDescent="0.3">
      <c r="B59" s="20"/>
      <c r="C59" s="197"/>
      <c r="D59" s="197"/>
      <c r="E59" s="197"/>
      <c r="F59" s="197"/>
      <c r="G59" s="89" t="b">
        <v>0</v>
      </c>
      <c r="H59" s="82" t="b">
        <v>0</v>
      </c>
      <c r="I59" s="82" t="b">
        <v>0</v>
      </c>
      <c r="J59" s="82" t="b">
        <v>0</v>
      </c>
      <c r="K59" s="91" t="b">
        <v>0</v>
      </c>
      <c r="L59" s="20"/>
    </row>
    <row r="60" spans="2:12" x14ac:dyDescent="0.3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x14ac:dyDescent="0.3">
      <c r="B61" s="29"/>
      <c r="C61" s="29"/>
      <c r="D61" s="29"/>
      <c r="E61" s="29"/>
      <c r="F61" s="31"/>
      <c r="G61" s="31"/>
      <c r="H61" s="31"/>
      <c r="I61" s="30"/>
      <c r="J61" s="30"/>
      <c r="K61" s="30"/>
      <c r="L61" s="30"/>
    </row>
    <row r="62" spans="2:12" x14ac:dyDescent="0.3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2" x14ac:dyDescent="0.3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2:12" x14ac:dyDescent="0.3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2" x14ac:dyDescent="0.3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</sheetData>
  <sheetProtection sheet="1" objects="1" scenarios="1"/>
  <mergeCells count="26">
    <mergeCell ref="C52:F53"/>
    <mergeCell ref="C54:F55"/>
    <mergeCell ref="C56:F57"/>
    <mergeCell ref="C58:F59"/>
    <mergeCell ref="C41:F42"/>
    <mergeCell ref="C44:F45"/>
    <mergeCell ref="C46:F47"/>
    <mergeCell ref="C48:F49"/>
    <mergeCell ref="C50:F51"/>
    <mergeCell ref="C39:F40"/>
    <mergeCell ref="C18:F19"/>
    <mergeCell ref="C20:F21"/>
    <mergeCell ref="C22:F23"/>
    <mergeCell ref="C24:F25"/>
    <mergeCell ref="C27:F28"/>
    <mergeCell ref="C29:F30"/>
    <mergeCell ref="C31:F32"/>
    <mergeCell ref="C33:F34"/>
    <mergeCell ref="C35:F36"/>
    <mergeCell ref="C37:F38"/>
    <mergeCell ref="C16:F17"/>
    <mergeCell ref="F3:K5"/>
    <mergeCell ref="C8:I8"/>
    <mergeCell ref="C10:F11"/>
    <mergeCell ref="C12:F13"/>
    <mergeCell ref="C14:F15"/>
  </mergeCells>
  <conditionalFormatting sqref="C12">
    <cfRule type="expression" dxfId="87" priority="28">
      <formula>AND($G$13:$K$13=FALSE)</formula>
    </cfRule>
  </conditionalFormatting>
  <conditionalFormatting sqref="C14">
    <cfRule type="expression" dxfId="86" priority="26">
      <formula>AND($G$15:$K$15=FALSE)</formula>
    </cfRule>
  </conditionalFormatting>
  <conditionalFormatting sqref="C16">
    <cfRule type="expression" dxfId="85" priority="25">
      <formula>AND($G$17:$K$17=FALSE)</formula>
    </cfRule>
  </conditionalFormatting>
  <conditionalFormatting sqref="C18">
    <cfRule type="expression" dxfId="84" priority="24">
      <formula>AND($G$19:$K$19=FALSE)</formula>
    </cfRule>
  </conditionalFormatting>
  <conditionalFormatting sqref="C20">
    <cfRule type="expression" dxfId="83" priority="23">
      <formula>AND($G$21:$K$21=FALSE)</formula>
    </cfRule>
  </conditionalFormatting>
  <conditionalFormatting sqref="C22">
    <cfRule type="expression" dxfId="82" priority="20">
      <formula>AND($G$23:$K$23=FALSE)</formula>
    </cfRule>
  </conditionalFormatting>
  <conditionalFormatting sqref="C24">
    <cfRule type="expression" dxfId="81" priority="21">
      <formula>AND($G$25:$K$25=FALSE)</formula>
    </cfRule>
  </conditionalFormatting>
  <conditionalFormatting sqref="C27">
    <cfRule type="expression" dxfId="80" priority="19">
      <formula>AND($G$28:$K$28=FALSE)</formula>
    </cfRule>
  </conditionalFormatting>
  <conditionalFormatting sqref="C29">
    <cfRule type="expression" dxfId="79" priority="18">
      <formula>AND($G$30:$K$30=FALSE)</formula>
    </cfRule>
  </conditionalFormatting>
  <conditionalFormatting sqref="C31">
    <cfRule type="expression" dxfId="78" priority="17">
      <formula>AND($G$32:$K$32=FALSE)</formula>
    </cfRule>
  </conditionalFormatting>
  <conditionalFormatting sqref="C33">
    <cfRule type="expression" dxfId="77" priority="16">
      <formula>AND($G$34:$K$34=FALSE)</formula>
    </cfRule>
  </conditionalFormatting>
  <conditionalFormatting sqref="C35">
    <cfRule type="expression" dxfId="76" priority="15">
      <formula>AND($G$36:$K$36=FALSE)</formula>
    </cfRule>
  </conditionalFormatting>
  <conditionalFormatting sqref="C37">
    <cfRule type="expression" dxfId="75" priority="14">
      <formula>AND($G$38:$K$38=FALSE)</formula>
    </cfRule>
  </conditionalFormatting>
  <conditionalFormatting sqref="C39">
    <cfRule type="expression" dxfId="74" priority="13">
      <formula>AND($G$40:$K$40=FALSE)</formula>
    </cfRule>
  </conditionalFormatting>
  <conditionalFormatting sqref="C41">
    <cfRule type="expression" dxfId="73" priority="12">
      <formula>AND($G$42:$K$42=FALSE)</formula>
    </cfRule>
  </conditionalFormatting>
  <conditionalFormatting sqref="C44">
    <cfRule type="expression" dxfId="72" priority="4">
      <formula>AND($G$45:$K$45=FALSE)</formula>
    </cfRule>
  </conditionalFormatting>
  <conditionalFormatting sqref="C46">
    <cfRule type="expression" dxfId="71" priority="10">
      <formula>AND($G$47:$K$47=FALSE)</formula>
    </cfRule>
  </conditionalFormatting>
  <conditionalFormatting sqref="C48">
    <cfRule type="expression" dxfId="70" priority="9">
      <formula>AND($G$49:$K$49=FALSE)</formula>
    </cfRule>
  </conditionalFormatting>
  <conditionalFormatting sqref="C50">
    <cfRule type="expression" dxfId="69" priority="8">
      <formula>AND($G$51:$K$51=FALSE)</formula>
    </cfRule>
  </conditionalFormatting>
  <conditionalFormatting sqref="C52">
    <cfRule type="expression" dxfId="68" priority="7">
      <formula>AND($G$53:$K$53=FALSE)</formula>
    </cfRule>
  </conditionalFormatting>
  <conditionalFormatting sqref="C54">
    <cfRule type="expression" dxfId="67" priority="6">
      <formula>AND($G$55:$K$55=FALSE)</formula>
    </cfRule>
  </conditionalFormatting>
  <conditionalFormatting sqref="C56">
    <cfRule type="expression" dxfId="66" priority="5">
      <formula>AND($G$57:$K$57=FALSE)</formula>
    </cfRule>
  </conditionalFormatting>
  <conditionalFormatting sqref="C58">
    <cfRule type="expression" dxfId="65" priority="3">
      <formula>AND($G$59:$K$59=FALSE)</formula>
    </cfRule>
  </conditionalFormatting>
  <conditionalFormatting sqref="C10:F11">
    <cfRule type="expression" dxfId="64" priority="27">
      <formula>AND($G$11:$I$11=FALSE)</formula>
    </cfRule>
  </conditionalFormatting>
  <pageMargins left="0.7" right="0.7" top="0.75" bottom="0.75" header="0.3" footer="0.3"/>
  <pageSetup paperSize="9" scale="62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E0EE-39B6-4942-AD4A-12BB3BF44AF1}">
  <sheetPr codeName="Feuil34"/>
  <dimension ref="B2:M62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551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552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553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554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94"/>
      <c r="K13" s="95"/>
      <c r="L13" s="20"/>
    </row>
    <row r="14" spans="2:13" ht="16.2" x14ac:dyDescent="0.3">
      <c r="B14" s="20"/>
      <c r="C14" s="198" t="s">
        <v>555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6.2" x14ac:dyDescent="0.3">
      <c r="B16" s="20"/>
      <c r="C16" s="198" t="s">
        <v>556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557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2" x14ac:dyDescent="0.3">
      <c r="B20" s="20"/>
      <c r="C20" s="198" t="s">
        <v>558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2" x14ac:dyDescent="0.3">
      <c r="B22" s="20"/>
      <c r="C22" s="198" t="s">
        <v>559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94"/>
      <c r="K23" s="95"/>
      <c r="L23" s="20"/>
    </row>
    <row r="24" spans="2:12" ht="16.2" x14ac:dyDescent="0.3">
      <c r="B24" s="20"/>
      <c r="C24" s="198" t="s">
        <v>560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94"/>
      <c r="K25" s="95"/>
      <c r="L25" s="20"/>
    </row>
    <row r="26" spans="2:12" ht="16.2" x14ac:dyDescent="0.3">
      <c r="B26" s="20"/>
      <c r="C26" s="198" t="s">
        <v>561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562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94"/>
      <c r="K29" s="95"/>
      <c r="L29" s="20"/>
    </row>
    <row r="30" spans="2:12" ht="16.2" x14ac:dyDescent="0.3">
      <c r="B30" s="20"/>
      <c r="C30" s="198" t="s">
        <v>563</v>
      </c>
      <c r="D30" s="198"/>
      <c r="E30" s="198"/>
      <c r="F30" s="198"/>
      <c r="G30" s="87" t="s">
        <v>58</v>
      </c>
      <c r="H30" s="140" t="s">
        <v>59</v>
      </c>
      <c r="I30" s="140" t="s">
        <v>60</v>
      </c>
      <c r="J30" s="140"/>
      <c r="K30" s="88"/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94"/>
      <c r="K31" s="95"/>
      <c r="L31" s="20"/>
    </row>
    <row r="32" spans="2:12" ht="16.2" x14ac:dyDescent="0.3">
      <c r="B32" s="20"/>
      <c r="C32" s="198" t="s">
        <v>564</v>
      </c>
      <c r="D32" s="198"/>
      <c r="E32" s="198"/>
      <c r="F32" s="198"/>
      <c r="G32" s="87" t="s">
        <v>58</v>
      </c>
      <c r="H32" s="140" t="s">
        <v>59</v>
      </c>
      <c r="I32" s="140" t="s">
        <v>60</v>
      </c>
      <c r="J32" s="140"/>
      <c r="K32" s="88"/>
      <c r="L32" s="20"/>
    </row>
    <row r="33" spans="2:12" x14ac:dyDescent="0.3">
      <c r="B33" s="20"/>
      <c r="C33" s="198"/>
      <c r="D33" s="198"/>
      <c r="E33" s="198"/>
      <c r="F33" s="198"/>
      <c r="G33" s="89" t="b">
        <v>0</v>
      </c>
      <c r="H33" s="82" t="b">
        <v>0</v>
      </c>
      <c r="I33" s="82" t="b">
        <v>0</v>
      </c>
      <c r="J33" s="94"/>
      <c r="K33" s="95"/>
      <c r="L33" s="20"/>
    </row>
    <row r="34" spans="2:12" ht="16.2" x14ac:dyDescent="0.3">
      <c r="B34" s="20"/>
      <c r="C34" s="198" t="s">
        <v>565</v>
      </c>
      <c r="D34" s="198"/>
      <c r="E34" s="198"/>
      <c r="F34" s="198"/>
      <c r="G34" s="87" t="s">
        <v>58</v>
      </c>
      <c r="H34" s="140" t="s">
        <v>59</v>
      </c>
      <c r="I34" s="140" t="s">
        <v>60</v>
      </c>
      <c r="J34" s="140"/>
      <c r="K34" s="88"/>
      <c r="L34" s="20"/>
    </row>
    <row r="35" spans="2:12" x14ac:dyDescent="0.3">
      <c r="B35" s="20"/>
      <c r="C35" s="198"/>
      <c r="D35" s="198"/>
      <c r="E35" s="198"/>
      <c r="F35" s="198"/>
      <c r="G35" s="89" t="b">
        <v>0</v>
      </c>
      <c r="H35" s="82" t="b">
        <v>0</v>
      </c>
      <c r="I35" s="82" t="b">
        <v>0</v>
      </c>
      <c r="J35" s="94"/>
      <c r="K35" s="95"/>
      <c r="L35" s="20"/>
    </row>
    <row r="36" spans="2:12" ht="16.2" x14ac:dyDescent="0.3">
      <c r="B36" s="20"/>
      <c r="C36" s="198" t="s">
        <v>566</v>
      </c>
      <c r="D36" s="198"/>
      <c r="E36" s="198"/>
      <c r="F36" s="198"/>
      <c r="G36" s="87" t="s">
        <v>58</v>
      </c>
      <c r="H36" s="140" t="s">
        <v>59</v>
      </c>
      <c r="I36" s="140" t="s">
        <v>60</v>
      </c>
      <c r="J36" s="140"/>
      <c r="K36" s="88"/>
      <c r="L36" s="20"/>
    </row>
    <row r="37" spans="2:12" ht="14.7" customHeight="1" x14ac:dyDescent="0.3">
      <c r="B37" s="20"/>
      <c r="C37" s="198"/>
      <c r="D37" s="198"/>
      <c r="E37" s="198"/>
      <c r="F37" s="198"/>
      <c r="G37" s="89" t="b">
        <v>0</v>
      </c>
      <c r="H37" s="82" t="b">
        <v>0</v>
      </c>
      <c r="I37" s="82" t="b">
        <v>0</v>
      </c>
      <c r="J37" s="94"/>
      <c r="K37" s="95"/>
      <c r="L37" s="20"/>
    </row>
    <row r="38" spans="2:12" ht="16.2" x14ac:dyDescent="0.3">
      <c r="B38" s="20"/>
      <c r="C38" s="198" t="s">
        <v>567</v>
      </c>
      <c r="D38" s="198"/>
      <c r="E38" s="198"/>
      <c r="F38" s="198"/>
      <c r="G38" s="87" t="s">
        <v>58</v>
      </c>
      <c r="H38" s="140" t="s">
        <v>59</v>
      </c>
      <c r="I38" s="140" t="s">
        <v>60</v>
      </c>
      <c r="J38" s="140"/>
      <c r="K38" s="88"/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94"/>
      <c r="K39" s="95"/>
      <c r="L39" s="20"/>
    </row>
    <row r="40" spans="2:12" ht="24" customHeight="1" x14ac:dyDescent="0.4">
      <c r="B40" s="20"/>
      <c r="C40" s="22" t="s">
        <v>568</v>
      </c>
      <c r="D40" s="22"/>
      <c r="E40" s="22"/>
      <c r="F40" s="20"/>
      <c r="G40" s="20"/>
      <c r="H40" s="20"/>
      <c r="I40" s="20"/>
      <c r="J40" s="21"/>
      <c r="K40" s="21"/>
      <c r="L40" s="20"/>
    </row>
    <row r="41" spans="2:12" ht="16.2" x14ac:dyDescent="0.3">
      <c r="B41" s="20"/>
      <c r="C41" s="198" t="s">
        <v>569</v>
      </c>
      <c r="D41" s="198"/>
      <c r="E41" s="198"/>
      <c r="F41" s="198"/>
      <c r="G41" s="87" t="s">
        <v>58</v>
      </c>
      <c r="H41" s="140" t="s">
        <v>59</v>
      </c>
      <c r="I41" s="140" t="s">
        <v>60</v>
      </c>
      <c r="J41" s="140"/>
      <c r="K41" s="88"/>
      <c r="L41" s="20"/>
    </row>
    <row r="42" spans="2:12" ht="14.7" customHeight="1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94"/>
      <c r="K42" s="95"/>
      <c r="L42" s="20"/>
    </row>
    <row r="43" spans="2:12" ht="16.2" x14ac:dyDescent="0.3">
      <c r="B43" s="20"/>
      <c r="C43" s="198" t="s">
        <v>570</v>
      </c>
      <c r="D43" s="198"/>
      <c r="E43" s="198"/>
      <c r="F43" s="198"/>
      <c r="G43" s="87" t="s">
        <v>58</v>
      </c>
      <c r="H43" s="140" t="s">
        <v>59</v>
      </c>
      <c r="I43" s="140" t="s">
        <v>60</v>
      </c>
      <c r="J43" s="140"/>
      <c r="K43" s="88"/>
      <c r="L43" s="20"/>
    </row>
    <row r="44" spans="2:12" ht="14.7" customHeight="1" x14ac:dyDescent="0.3">
      <c r="B44" s="20"/>
      <c r="C44" s="198"/>
      <c r="D44" s="198"/>
      <c r="E44" s="198"/>
      <c r="F44" s="198"/>
      <c r="G44" s="89" t="b">
        <v>0</v>
      </c>
      <c r="H44" s="82" t="b">
        <v>0</v>
      </c>
      <c r="I44" s="82" t="b">
        <v>0</v>
      </c>
      <c r="J44" s="94"/>
      <c r="K44" s="95"/>
      <c r="L44" s="20"/>
    </row>
    <row r="45" spans="2:12" ht="33.6" customHeight="1" x14ac:dyDescent="0.3">
      <c r="B45" s="20"/>
      <c r="C45" s="198" t="s">
        <v>177</v>
      </c>
      <c r="D45" s="198"/>
      <c r="E45" s="198"/>
      <c r="F45" s="198"/>
      <c r="G45" s="87" t="s">
        <v>58</v>
      </c>
      <c r="H45" s="140" t="s">
        <v>59</v>
      </c>
      <c r="I45" s="140" t="s">
        <v>60</v>
      </c>
      <c r="J45" s="140"/>
      <c r="K45" s="88"/>
      <c r="L45" s="20"/>
    </row>
    <row r="46" spans="2:12" ht="14.7" customHeight="1" x14ac:dyDescent="0.3">
      <c r="B46" s="20"/>
      <c r="C46" s="198"/>
      <c r="D46" s="198"/>
      <c r="E46" s="198"/>
      <c r="F46" s="198"/>
      <c r="G46" s="89" t="b">
        <v>0</v>
      </c>
      <c r="H46" s="82" t="b">
        <v>0</v>
      </c>
      <c r="I46" s="82" t="b">
        <v>0</v>
      </c>
      <c r="J46" s="94"/>
      <c r="K46" s="95"/>
      <c r="L46" s="20"/>
    </row>
    <row r="47" spans="2:12" ht="16.2" x14ac:dyDescent="0.3">
      <c r="B47" s="20"/>
      <c r="C47" s="198" t="s">
        <v>571</v>
      </c>
      <c r="D47" s="198"/>
      <c r="E47" s="198"/>
      <c r="F47" s="198"/>
      <c r="G47" s="87" t="s">
        <v>58</v>
      </c>
      <c r="H47" s="140" t="s">
        <v>59</v>
      </c>
      <c r="I47" s="140" t="s">
        <v>60</v>
      </c>
      <c r="J47" s="140"/>
      <c r="K47" s="88"/>
      <c r="L47" s="20"/>
    </row>
    <row r="48" spans="2:12" ht="14.7" customHeight="1" x14ac:dyDescent="0.3">
      <c r="B48" s="20"/>
      <c r="C48" s="198"/>
      <c r="D48" s="198"/>
      <c r="E48" s="198"/>
      <c r="F48" s="198"/>
      <c r="G48" s="89" t="b">
        <v>0</v>
      </c>
      <c r="H48" s="82" t="b">
        <v>0</v>
      </c>
      <c r="I48" s="82" t="b">
        <v>0</v>
      </c>
      <c r="J48" s="94"/>
      <c r="K48" s="95"/>
      <c r="L48" s="20"/>
    </row>
    <row r="49" spans="2:12" ht="16.2" x14ac:dyDescent="0.3">
      <c r="B49" s="20"/>
      <c r="C49" s="198" t="s">
        <v>572</v>
      </c>
      <c r="D49" s="198"/>
      <c r="E49" s="198"/>
      <c r="F49" s="198"/>
      <c r="G49" s="87" t="s">
        <v>58</v>
      </c>
      <c r="H49" s="140" t="s">
        <v>59</v>
      </c>
      <c r="I49" s="140" t="s">
        <v>60</v>
      </c>
      <c r="J49" s="140"/>
      <c r="K49" s="88"/>
      <c r="L49" s="20"/>
    </row>
    <row r="50" spans="2:12" x14ac:dyDescent="0.3">
      <c r="B50" s="20"/>
      <c r="C50" s="198"/>
      <c r="D50" s="198"/>
      <c r="E50" s="198"/>
      <c r="F50" s="198"/>
      <c r="G50" s="89" t="b">
        <v>0</v>
      </c>
      <c r="H50" s="82" t="b">
        <v>0</v>
      </c>
      <c r="I50" s="82" t="b">
        <v>0</v>
      </c>
      <c r="J50" s="94"/>
      <c r="K50" s="95"/>
      <c r="L50" s="20"/>
    </row>
    <row r="51" spans="2:12" ht="16.2" x14ac:dyDescent="0.3">
      <c r="B51" s="20"/>
      <c r="C51" s="198" t="s">
        <v>573</v>
      </c>
      <c r="D51" s="198"/>
      <c r="E51" s="198"/>
      <c r="F51" s="198"/>
      <c r="G51" s="87" t="s">
        <v>58</v>
      </c>
      <c r="H51" s="140" t="s">
        <v>59</v>
      </c>
      <c r="I51" s="140" t="s">
        <v>60</v>
      </c>
      <c r="J51" s="140"/>
      <c r="K51" s="88"/>
      <c r="L51" s="20"/>
    </row>
    <row r="52" spans="2:12" x14ac:dyDescent="0.3">
      <c r="B52" s="20"/>
      <c r="C52" s="198"/>
      <c r="D52" s="198"/>
      <c r="E52" s="198"/>
      <c r="F52" s="198"/>
      <c r="G52" s="89" t="b">
        <v>0</v>
      </c>
      <c r="H52" s="82" t="b">
        <v>0</v>
      </c>
      <c r="I52" s="82" t="b">
        <v>0</v>
      </c>
      <c r="J52" s="94"/>
      <c r="K52" s="95"/>
      <c r="L52" s="20"/>
    </row>
    <row r="53" spans="2:12" ht="16.2" x14ac:dyDescent="0.3">
      <c r="B53" s="20"/>
      <c r="C53" s="197" t="s">
        <v>574</v>
      </c>
      <c r="D53" s="197"/>
      <c r="E53" s="197"/>
      <c r="F53" s="197"/>
      <c r="G53" s="87" t="s">
        <v>58</v>
      </c>
      <c r="H53" s="140">
        <v>0</v>
      </c>
      <c r="I53" s="140">
        <v>1</v>
      </c>
      <c r="J53" s="140">
        <v>2</v>
      </c>
      <c r="K53" s="88">
        <v>3</v>
      </c>
      <c r="L53" s="20"/>
    </row>
    <row r="54" spans="2:12" ht="14.7" customHeight="1" x14ac:dyDescent="0.3">
      <c r="B54" s="20"/>
      <c r="C54" s="197"/>
      <c r="D54" s="197"/>
      <c r="E54" s="197"/>
      <c r="F54" s="197"/>
      <c r="G54" s="89" t="b">
        <v>0</v>
      </c>
      <c r="H54" s="82" t="b">
        <v>0</v>
      </c>
      <c r="I54" s="82" t="b">
        <v>0</v>
      </c>
      <c r="J54" s="82" t="b">
        <v>0</v>
      </c>
      <c r="K54" s="91" t="b">
        <v>0</v>
      </c>
      <c r="L54" s="20"/>
    </row>
    <row r="55" spans="2:12" ht="16.2" x14ac:dyDescent="0.3">
      <c r="B55" s="20"/>
      <c r="C55" s="197" t="s">
        <v>575</v>
      </c>
      <c r="D55" s="197"/>
      <c r="E55" s="197"/>
      <c r="F55" s="197"/>
      <c r="G55" s="87" t="s">
        <v>58</v>
      </c>
      <c r="H55" s="140">
        <v>0</v>
      </c>
      <c r="I55" s="140">
        <v>1</v>
      </c>
      <c r="J55" s="140">
        <v>2</v>
      </c>
      <c r="K55" s="88">
        <v>3</v>
      </c>
      <c r="L55" s="20"/>
    </row>
    <row r="56" spans="2:12" ht="14.7" customHeight="1" x14ac:dyDescent="0.3">
      <c r="B56" s="20"/>
      <c r="C56" s="197"/>
      <c r="D56" s="197"/>
      <c r="E56" s="197"/>
      <c r="F56" s="197"/>
      <c r="G56" s="89" t="b">
        <v>0</v>
      </c>
      <c r="H56" s="82" t="b">
        <v>0</v>
      </c>
      <c r="I56" s="82" t="b">
        <v>0</v>
      </c>
      <c r="J56" s="82" t="b">
        <v>0</v>
      </c>
      <c r="K56" s="91" t="b">
        <v>0</v>
      </c>
      <c r="L56" s="20"/>
    </row>
    <row r="57" spans="2:12" x14ac:dyDescent="0.3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2:12" x14ac:dyDescent="0.3">
      <c r="B58" s="29"/>
      <c r="C58" s="29"/>
      <c r="D58" s="29"/>
      <c r="E58" s="29"/>
      <c r="F58" s="31"/>
      <c r="G58" s="31"/>
      <c r="H58" s="31"/>
      <c r="I58" s="30"/>
      <c r="J58" s="30"/>
      <c r="K58" s="30"/>
      <c r="L58" s="30"/>
    </row>
    <row r="59" spans="2:12" x14ac:dyDescent="0.3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2" x14ac:dyDescent="0.3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x14ac:dyDescent="0.3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2" x14ac:dyDescent="0.3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</sheetData>
  <sheetProtection sheet="1" objects="1" scenarios="1"/>
  <mergeCells count="25">
    <mergeCell ref="C53:F54"/>
    <mergeCell ref="C55:F56"/>
    <mergeCell ref="C43:F44"/>
    <mergeCell ref="C45:F46"/>
    <mergeCell ref="C47:F48"/>
    <mergeCell ref="C49:F50"/>
    <mergeCell ref="C51:F52"/>
    <mergeCell ref="C41:F42"/>
    <mergeCell ref="C18:F19"/>
    <mergeCell ref="C20:F21"/>
    <mergeCell ref="C22:F23"/>
    <mergeCell ref="C24:F25"/>
    <mergeCell ref="C26:F27"/>
    <mergeCell ref="C28:F29"/>
    <mergeCell ref="C30:F31"/>
    <mergeCell ref="C32:F33"/>
    <mergeCell ref="C34:F35"/>
    <mergeCell ref="C36:F37"/>
    <mergeCell ref="C38:F39"/>
    <mergeCell ref="C16:F17"/>
    <mergeCell ref="F3:K5"/>
    <mergeCell ref="C8:I8"/>
    <mergeCell ref="C10:F11"/>
    <mergeCell ref="C12:F13"/>
    <mergeCell ref="C14:F15"/>
  </mergeCells>
  <conditionalFormatting sqref="C12">
    <cfRule type="expression" dxfId="63" priority="25">
      <formula>AND($G$13:$K$13=FALSE)</formula>
    </cfRule>
  </conditionalFormatting>
  <conditionalFormatting sqref="C14">
    <cfRule type="expression" dxfId="62" priority="23">
      <formula>AND($G$15:$K$15=FALSE)</formula>
    </cfRule>
  </conditionalFormatting>
  <conditionalFormatting sqref="C16">
    <cfRule type="expression" dxfId="61" priority="22">
      <formula>AND($G$17:$K$17=FALSE)</formula>
    </cfRule>
  </conditionalFormatting>
  <conditionalFormatting sqref="C18">
    <cfRule type="expression" dxfId="60" priority="21">
      <formula>AND($G$19:$K$19=FALSE)</formula>
    </cfRule>
  </conditionalFormatting>
  <conditionalFormatting sqref="C20">
    <cfRule type="expression" dxfId="59" priority="20">
      <formula>AND($G$21:$K$21=FALSE)</formula>
    </cfRule>
  </conditionalFormatting>
  <conditionalFormatting sqref="C22">
    <cfRule type="expression" dxfId="58" priority="17">
      <formula>AND($G$23:$K$23=FALSE)</formula>
    </cfRule>
  </conditionalFormatting>
  <conditionalFormatting sqref="C26">
    <cfRule type="expression" dxfId="57" priority="18">
      <formula>AND($G$27:$K$27=FALSE)</formula>
    </cfRule>
  </conditionalFormatting>
  <conditionalFormatting sqref="C28">
    <cfRule type="expression" dxfId="56" priority="16">
      <formula>AND($G$29:$K$29=FALSE)</formula>
    </cfRule>
  </conditionalFormatting>
  <conditionalFormatting sqref="C30">
    <cfRule type="expression" dxfId="55" priority="15">
      <formula>AND($G$31:$K$31=FALSE)</formula>
    </cfRule>
  </conditionalFormatting>
  <conditionalFormatting sqref="C32">
    <cfRule type="expression" dxfId="54" priority="14">
      <formula>AND($G$33:$K$33=FALSE)</formula>
    </cfRule>
  </conditionalFormatting>
  <conditionalFormatting sqref="C34">
    <cfRule type="expression" dxfId="53" priority="13">
      <formula>AND($G$35:$K$35=FALSE)</formula>
    </cfRule>
  </conditionalFormatting>
  <conditionalFormatting sqref="C36">
    <cfRule type="expression" dxfId="52" priority="12">
      <formula>AND($G$37:$K$37=FALSE)</formula>
    </cfRule>
  </conditionalFormatting>
  <conditionalFormatting sqref="C38">
    <cfRule type="expression" dxfId="51" priority="11">
      <formula>AND($G$39:$K$39=FALSE)</formula>
    </cfRule>
  </conditionalFormatting>
  <conditionalFormatting sqref="C41">
    <cfRule type="expression" dxfId="50" priority="10">
      <formula>AND($G$42:$K$42=FALSE)</formula>
    </cfRule>
  </conditionalFormatting>
  <conditionalFormatting sqref="C43">
    <cfRule type="expression" dxfId="49" priority="9">
      <formula>AND($G$44:$K$44=FALSE)</formula>
    </cfRule>
  </conditionalFormatting>
  <conditionalFormatting sqref="C45">
    <cfRule type="expression" dxfId="48" priority="2">
      <formula>AND($G$46:$K$46=FALSE)</formula>
    </cfRule>
  </conditionalFormatting>
  <conditionalFormatting sqref="C47">
    <cfRule type="expression" dxfId="47" priority="8">
      <formula>AND($G$48:$K$48=FALSE)</formula>
    </cfRule>
  </conditionalFormatting>
  <conditionalFormatting sqref="C49">
    <cfRule type="expression" dxfId="46" priority="7">
      <formula>AND($G$50:$K$50=FALSE)</formula>
    </cfRule>
  </conditionalFormatting>
  <conditionalFormatting sqref="C51">
    <cfRule type="expression" dxfId="45" priority="6">
      <formula>AND($G$52:$K$52=FALSE)</formula>
    </cfRule>
  </conditionalFormatting>
  <conditionalFormatting sqref="C53">
    <cfRule type="expression" dxfId="44" priority="3">
      <formula>AND($G$54:$K$54=FALSE)</formula>
    </cfRule>
  </conditionalFormatting>
  <conditionalFormatting sqref="C55">
    <cfRule type="expression" dxfId="43" priority="1">
      <formula>AND($G$56:$K$56=FALSE)</formula>
    </cfRule>
  </conditionalFormatting>
  <conditionalFormatting sqref="C10:F11">
    <cfRule type="expression" dxfId="42" priority="24">
      <formula>AND($G$11:$I$11=FALSE)</formula>
    </cfRule>
  </conditionalFormatting>
  <conditionalFormatting sqref="C24:F25">
    <cfRule type="expression" dxfId="41" priority="19">
      <formula>AND($G$25:$K$25=FALSE)</formula>
    </cfRule>
  </conditionalFormatting>
  <pageMargins left="0.7" right="0.7" top="0.75" bottom="0.75" header="0.3" footer="0.3"/>
  <pageSetup paperSize="9" scale="62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4411-69A0-4707-992C-763942C6AC20}">
  <sheetPr codeName="Feuil35"/>
  <dimension ref="B2:M81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576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577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8" t="s">
        <v>578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369</v>
      </c>
      <c r="D12" s="198"/>
      <c r="E12" s="198"/>
      <c r="F12" s="198"/>
      <c r="G12" s="87" t="s">
        <v>58</v>
      </c>
      <c r="H12" s="140">
        <v>0</v>
      </c>
      <c r="I12" s="140">
        <v>1</v>
      </c>
      <c r="J12" s="140">
        <v>2</v>
      </c>
      <c r="K12" s="88">
        <v>3</v>
      </c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2" t="b">
        <v>0</v>
      </c>
      <c r="K13" s="91" t="b">
        <v>0</v>
      </c>
      <c r="L13" s="20"/>
    </row>
    <row r="14" spans="2:13" ht="16.2" x14ac:dyDescent="0.3">
      <c r="B14" s="20"/>
      <c r="C14" s="198" t="s">
        <v>370</v>
      </c>
      <c r="D14" s="198"/>
      <c r="E14" s="198"/>
      <c r="F14" s="198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6.2" x14ac:dyDescent="0.3">
      <c r="B16" s="20"/>
      <c r="C16" s="198" t="s">
        <v>579</v>
      </c>
      <c r="D16" s="198"/>
      <c r="E16" s="198"/>
      <c r="F16" s="198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580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94"/>
      <c r="K19" s="95"/>
      <c r="L19" s="20"/>
    </row>
    <row r="20" spans="2:12" ht="16.2" x14ac:dyDescent="0.3">
      <c r="B20" s="20"/>
      <c r="C20" s="198" t="s">
        <v>581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94"/>
      <c r="K21" s="95"/>
      <c r="L21" s="20"/>
    </row>
    <row r="22" spans="2:12" ht="16.2" x14ac:dyDescent="0.3">
      <c r="B22" s="20"/>
      <c r="C22" s="198" t="s">
        <v>582</v>
      </c>
      <c r="D22" s="198"/>
      <c r="E22" s="198"/>
      <c r="F22" s="198"/>
      <c r="G22" s="87" t="s">
        <v>58</v>
      </c>
      <c r="H22" s="140">
        <v>0</v>
      </c>
      <c r="I22" s="140">
        <v>1</v>
      </c>
      <c r="J22" s="140">
        <v>2</v>
      </c>
      <c r="K22" s="88">
        <v>3</v>
      </c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2" t="b">
        <v>0</v>
      </c>
      <c r="K23" s="91" t="b">
        <v>0</v>
      </c>
      <c r="L23" s="20"/>
    </row>
    <row r="24" spans="2:12" ht="16.2" x14ac:dyDescent="0.3">
      <c r="B24" s="20"/>
      <c r="C24" s="198" t="s">
        <v>583</v>
      </c>
      <c r="D24" s="198"/>
      <c r="E24" s="198"/>
      <c r="F24" s="198"/>
      <c r="G24" s="87" t="s">
        <v>58</v>
      </c>
      <c r="H24" s="140">
        <v>0</v>
      </c>
      <c r="I24" s="140">
        <v>1</v>
      </c>
      <c r="J24" s="140">
        <v>2</v>
      </c>
      <c r="K24" s="88">
        <v>3</v>
      </c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82" t="b">
        <v>0</v>
      </c>
      <c r="K25" s="91" t="b">
        <v>0</v>
      </c>
      <c r="L25" s="20"/>
    </row>
    <row r="26" spans="2:12" ht="16.2" x14ac:dyDescent="0.3">
      <c r="B26" s="20"/>
      <c r="C26" s="198" t="s">
        <v>182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584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94"/>
      <c r="K29" s="95"/>
      <c r="L29" s="20"/>
    </row>
    <row r="30" spans="2:12" ht="16.2" x14ac:dyDescent="0.3">
      <c r="B30" s="20"/>
      <c r="C30" s="198" t="s">
        <v>585</v>
      </c>
      <c r="D30" s="198"/>
      <c r="E30" s="198"/>
      <c r="F30" s="198"/>
      <c r="G30" s="87" t="s">
        <v>58</v>
      </c>
      <c r="H30" s="140" t="s">
        <v>59</v>
      </c>
      <c r="I30" s="140" t="s">
        <v>60</v>
      </c>
      <c r="J30" s="140"/>
      <c r="K30" s="88"/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94"/>
      <c r="K31" s="95"/>
      <c r="L31" s="20"/>
    </row>
    <row r="32" spans="2:12" ht="16.2" x14ac:dyDescent="0.3">
      <c r="B32" s="20"/>
      <c r="C32" s="198" t="s">
        <v>586</v>
      </c>
      <c r="D32" s="198"/>
      <c r="E32" s="198"/>
      <c r="F32" s="198"/>
      <c r="G32" s="87" t="s">
        <v>58</v>
      </c>
      <c r="H32" s="140" t="s">
        <v>59</v>
      </c>
      <c r="I32" s="140" t="s">
        <v>60</v>
      </c>
      <c r="J32" s="140"/>
      <c r="K32" s="88"/>
      <c r="L32" s="20"/>
    </row>
    <row r="33" spans="2:12" x14ac:dyDescent="0.3">
      <c r="B33" s="20"/>
      <c r="C33" s="198"/>
      <c r="D33" s="198"/>
      <c r="E33" s="198"/>
      <c r="F33" s="198"/>
      <c r="G33" s="89" t="b">
        <v>0</v>
      </c>
      <c r="H33" s="82" t="b">
        <v>0</v>
      </c>
      <c r="I33" s="82" t="b">
        <v>0</v>
      </c>
      <c r="J33" s="94"/>
      <c r="K33" s="95"/>
      <c r="L33" s="20"/>
    </row>
    <row r="34" spans="2:12" ht="16.2" x14ac:dyDescent="0.3">
      <c r="B34" s="20"/>
      <c r="C34" s="198" t="s">
        <v>587</v>
      </c>
      <c r="D34" s="198"/>
      <c r="E34" s="198"/>
      <c r="F34" s="198"/>
      <c r="G34" s="87" t="s">
        <v>58</v>
      </c>
      <c r="H34" s="140" t="s">
        <v>59</v>
      </c>
      <c r="I34" s="140" t="s">
        <v>60</v>
      </c>
      <c r="J34" s="140"/>
      <c r="K34" s="88"/>
      <c r="L34" s="20"/>
    </row>
    <row r="35" spans="2:12" x14ac:dyDescent="0.3">
      <c r="B35" s="20"/>
      <c r="C35" s="198"/>
      <c r="D35" s="198"/>
      <c r="E35" s="198"/>
      <c r="F35" s="198"/>
      <c r="G35" s="89" t="b">
        <v>0</v>
      </c>
      <c r="H35" s="82" t="b">
        <v>0</v>
      </c>
      <c r="I35" s="82" t="b">
        <v>0</v>
      </c>
      <c r="J35" s="94"/>
      <c r="K35" s="95"/>
      <c r="L35" s="20"/>
    </row>
    <row r="36" spans="2:12" ht="16.2" x14ac:dyDescent="0.3">
      <c r="B36" s="20"/>
      <c r="C36" s="198" t="s">
        <v>588</v>
      </c>
      <c r="D36" s="198"/>
      <c r="E36" s="198"/>
      <c r="F36" s="198"/>
      <c r="G36" s="87" t="s">
        <v>58</v>
      </c>
      <c r="H36" s="140" t="s">
        <v>59</v>
      </c>
      <c r="I36" s="140" t="s">
        <v>60</v>
      </c>
      <c r="J36" s="140"/>
      <c r="K36" s="88"/>
      <c r="L36" s="20"/>
    </row>
    <row r="37" spans="2:12" ht="14.7" customHeight="1" x14ac:dyDescent="0.3">
      <c r="B37" s="20"/>
      <c r="C37" s="198"/>
      <c r="D37" s="198"/>
      <c r="E37" s="198"/>
      <c r="F37" s="198"/>
      <c r="G37" s="89" t="b">
        <v>0</v>
      </c>
      <c r="H37" s="82" t="b">
        <v>0</v>
      </c>
      <c r="I37" s="82" t="b">
        <v>0</v>
      </c>
      <c r="J37" s="94"/>
      <c r="K37" s="95"/>
      <c r="L37" s="20"/>
    </row>
    <row r="38" spans="2:12" ht="16.2" x14ac:dyDescent="0.3">
      <c r="B38" s="20"/>
      <c r="C38" s="198" t="s">
        <v>574</v>
      </c>
      <c r="D38" s="198"/>
      <c r="E38" s="198"/>
      <c r="F38" s="198"/>
      <c r="G38" s="87" t="s">
        <v>58</v>
      </c>
      <c r="H38" s="140">
        <v>0</v>
      </c>
      <c r="I38" s="140">
        <v>1</v>
      </c>
      <c r="J38" s="140">
        <v>2</v>
      </c>
      <c r="K38" s="88">
        <v>3</v>
      </c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82" t="b">
        <v>0</v>
      </c>
      <c r="K39" s="91" t="b">
        <v>0</v>
      </c>
      <c r="L39" s="20"/>
    </row>
    <row r="40" spans="2:12" ht="16.2" x14ac:dyDescent="0.3">
      <c r="B40" s="20"/>
      <c r="C40" s="198" t="s">
        <v>575</v>
      </c>
      <c r="D40" s="198"/>
      <c r="E40" s="198"/>
      <c r="F40" s="198"/>
      <c r="G40" s="87" t="s">
        <v>58</v>
      </c>
      <c r="H40" s="140">
        <v>0</v>
      </c>
      <c r="I40" s="140">
        <v>1</v>
      </c>
      <c r="J40" s="140">
        <v>2</v>
      </c>
      <c r="K40" s="88">
        <v>3</v>
      </c>
      <c r="L40" s="20"/>
    </row>
    <row r="41" spans="2:12" ht="14.7" customHeight="1" x14ac:dyDescent="0.3">
      <c r="B41" s="20"/>
      <c r="C41" s="198"/>
      <c r="D41" s="198"/>
      <c r="E41" s="198"/>
      <c r="F41" s="198"/>
      <c r="G41" s="89" t="b">
        <v>0</v>
      </c>
      <c r="H41" s="82" t="b">
        <v>0</v>
      </c>
      <c r="I41" s="82" t="b">
        <v>0</v>
      </c>
      <c r="J41" s="82" t="b">
        <v>0</v>
      </c>
      <c r="K41" s="91" t="b">
        <v>0</v>
      </c>
      <c r="L41" s="20"/>
    </row>
    <row r="42" spans="2:12" ht="16.2" x14ac:dyDescent="0.3">
      <c r="B42" s="20"/>
      <c r="C42" s="198" t="s">
        <v>570</v>
      </c>
      <c r="D42" s="198"/>
      <c r="E42" s="198"/>
      <c r="F42" s="198"/>
      <c r="G42" s="87" t="s">
        <v>58</v>
      </c>
      <c r="H42" s="140" t="s">
        <v>59</v>
      </c>
      <c r="I42" s="140" t="s">
        <v>60</v>
      </c>
      <c r="J42" s="140"/>
      <c r="K42" s="88"/>
      <c r="L42" s="20"/>
    </row>
    <row r="43" spans="2:12" ht="14.7" customHeight="1" x14ac:dyDescent="0.3">
      <c r="B43" s="20"/>
      <c r="C43" s="198"/>
      <c r="D43" s="198"/>
      <c r="E43" s="198"/>
      <c r="F43" s="198"/>
      <c r="G43" s="89" t="b">
        <v>0</v>
      </c>
      <c r="H43" s="82" t="b">
        <v>0</v>
      </c>
      <c r="I43" s="82" t="b">
        <v>0</v>
      </c>
      <c r="J43" s="94"/>
      <c r="K43" s="95"/>
      <c r="L43" s="20"/>
    </row>
    <row r="44" spans="2:12" ht="16.2" x14ac:dyDescent="0.3">
      <c r="B44" s="20"/>
      <c r="C44" s="198" t="s">
        <v>589</v>
      </c>
      <c r="D44" s="198"/>
      <c r="E44" s="198"/>
      <c r="F44" s="198"/>
      <c r="G44" s="87" t="s">
        <v>58</v>
      </c>
      <c r="H44" s="140" t="s">
        <v>59</v>
      </c>
      <c r="I44" s="140" t="s">
        <v>60</v>
      </c>
      <c r="J44" s="140"/>
      <c r="K44" s="88"/>
      <c r="L44" s="20"/>
    </row>
    <row r="45" spans="2:12" ht="14.7" customHeight="1" x14ac:dyDescent="0.3">
      <c r="B45" s="20"/>
      <c r="C45" s="198"/>
      <c r="D45" s="198"/>
      <c r="E45" s="198"/>
      <c r="F45" s="198"/>
      <c r="G45" s="89" t="b">
        <v>0</v>
      </c>
      <c r="H45" s="82" t="b">
        <v>0</v>
      </c>
      <c r="I45" s="82" t="b">
        <v>0</v>
      </c>
      <c r="J45" s="94"/>
      <c r="K45" s="95"/>
      <c r="L45" s="20"/>
    </row>
    <row r="46" spans="2:12" ht="16.2" x14ac:dyDescent="0.3">
      <c r="B46" s="20"/>
      <c r="C46" s="198" t="s">
        <v>326</v>
      </c>
      <c r="D46" s="198"/>
      <c r="E46" s="198"/>
      <c r="F46" s="198"/>
      <c r="G46" s="87" t="s">
        <v>58</v>
      </c>
      <c r="H46" s="140" t="s">
        <v>59</v>
      </c>
      <c r="I46" s="140" t="s">
        <v>60</v>
      </c>
      <c r="J46" s="140"/>
      <c r="K46" s="88"/>
      <c r="L46" s="20"/>
    </row>
    <row r="47" spans="2:12" ht="14.7" customHeight="1" x14ac:dyDescent="0.3">
      <c r="B47" s="20"/>
      <c r="C47" s="198"/>
      <c r="D47" s="198"/>
      <c r="E47" s="198"/>
      <c r="F47" s="198"/>
      <c r="G47" s="89" t="b">
        <v>0</v>
      </c>
      <c r="H47" s="82" t="b">
        <v>0</v>
      </c>
      <c r="I47" s="82" t="b">
        <v>0</v>
      </c>
      <c r="J47" s="94"/>
      <c r="K47" s="95"/>
      <c r="L47" s="20"/>
    </row>
    <row r="48" spans="2:12" ht="16.2" x14ac:dyDescent="0.3">
      <c r="B48" s="20"/>
      <c r="C48" s="198" t="s">
        <v>590</v>
      </c>
      <c r="D48" s="198"/>
      <c r="E48" s="198"/>
      <c r="F48" s="198"/>
      <c r="G48" s="87" t="s">
        <v>58</v>
      </c>
      <c r="H48" s="140" t="s">
        <v>59</v>
      </c>
      <c r="I48" s="140" t="s">
        <v>60</v>
      </c>
      <c r="J48" s="140"/>
      <c r="K48" s="88"/>
      <c r="L48" s="20"/>
    </row>
    <row r="49" spans="2:12" ht="14.7" customHeight="1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94"/>
      <c r="K49" s="95"/>
      <c r="L49" s="20"/>
    </row>
    <row r="50" spans="2:12" ht="16.2" x14ac:dyDescent="0.3">
      <c r="B50" s="20"/>
      <c r="C50" s="198" t="s">
        <v>324</v>
      </c>
      <c r="D50" s="198"/>
      <c r="E50" s="198"/>
      <c r="F50" s="198"/>
      <c r="G50" s="87" t="s">
        <v>58</v>
      </c>
      <c r="H50" s="140">
        <v>0</v>
      </c>
      <c r="I50" s="140">
        <v>1</v>
      </c>
      <c r="J50" s="140">
        <v>2</v>
      </c>
      <c r="K50" s="88">
        <v>3</v>
      </c>
      <c r="L50" s="20"/>
    </row>
    <row r="51" spans="2:12" ht="14.7" customHeight="1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82" t="b">
        <v>0</v>
      </c>
      <c r="K51" s="91" t="b">
        <v>0</v>
      </c>
      <c r="L51" s="20"/>
    </row>
    <row r="52" spans="2:12" ht="16.2" x14ac:dyDescent="0.3">
      <c r="B52" s="20"/>
      <c r="C52" s="198" t="s">
        <v>325</v>
      </c>
      <c r="D52" s="198"/>
      <c r="E52" s="198"/>
      <c r="F52" s="198"/>
      <c r="G52" s="87" t="s">
        <v>58</v>
      </c>
      <c r="H52" s="140">
        <v>0</v>
      </c>
      <c r="I52" s="140">
        <v>1</v>
      </c>
      <c r="J52" s="140">
        <v>2</v>
      </c>
      <c r="K52" s="88">
        <v>3</v>
      </c>
      <c r="L52" s="20"/>
    </row>
    <row r="53" spans="2:12" x14ac:dyDescent="0.3">
      <c r="B53" s="20"/>
      <c r="C53" s="198"/>
      <c r="D53" s="198"/>
      <c r="E53" s="198"/>
      <c r="F53" s="198"/>
      <c r="G53" s="89" t="b">
        <v>0</v>
      </c>
      <c r="H53" s="82" t="b">
        <v>0</v>
      </c>
      <c r="I53" s="82" t="b">
        <v>0</v>
      </c>
      <c r="J53" s="82" t="b">
        <v>0</v>
      </c>
      <c r="K53" s="91" t="b">
        <v>0</v>
      </c>
      <c r="L53" s="20"/>
    </row>
    <row r="54" spans="2:12" ht="24" customHeight="1" x14ac:dyDescent="0.4">
      <c r="B54" s="20"/>
      <c r="C54" s="22" t="s">
        <v>591</v>
      </c>
      <c r="D54" s="22"/>
      <c r="E54" s="22"/>
      <c r="F54" s="20"/>
      <c r="G54" s="20"/>
      <c r="H54" s="20"/>
      <c r="I54" s="20"/>
      <c r="J54" s="21"/>
      <c r="K54" s="21"/>
      <c r="L54" s="20"/>
    </row>
    <row r="55" spans="2:12" ht="16.2" x14ac:dyDescent="0.3">
      <c r="B55" s="20"/>
      <c r="C55" s="198" t="s">
        <v>592</v>
      </c>
      <c r="D55" s="198"/>
      <c r="E55" s="198"/>
      <c r="F55" s="198"/>
      <c r="G55" s="87" t="s">
        <v>58</v>
      </c>
      <c r="H55" s="140" t="s">
        <v>59</v>
      </c>
      <c r="I55" s="140" t="s">
        <v>60</v>
      </c>
      <c r="J55" s="140"/>
      <c r="K55" s="88"/>
      <c r="L55" s="20"/>
    </row>
    <row r="56" spans="2:12" x14ac:dyDescent="0.3">
      <c r="B56" s="20"/>
      <c r="C56" s="198"/>
      <c r="D56" s="198"/>
      <c r="E56" s="198"/>
      <c r="F56" s="198"/>
      <c r="G56" s="89" t="b">
        <v>0</v>
      </c>
      <c r="H56" s="82" t="b">
        <v>0</v>
      </c>
      <c r="I56" s="82" t="b">
        <v>0</v>
      </c>
      <c r="J56" s="94"/>
      <c r="K56" s="95"/>
      <c r="L56" s="20"/>
    </row>
    <row r="57" spans="2:12" ht="16.2" x14ac:dyDescent="0.3">
      <c r="B57" s="20"/>
      <c r="C57" s="198" t="s">
        <v>593</v>
      </c>
      <c r="D57" s="198"/>
      <c r="E57" s="198"/>
      <c r="F57" s="198"/>
      <c r="G57" s="87" t="s">
        <v>58</v>
      </c>
      <c r="H57" s="140" t="s">
        <v>59</v>
      </c>
      <c r="I57" s="140" t="s">
        <v>60</v>
      </c>
      <c r="J57" s="140"/>
      <c r="K57" s="88"/>
      <c r="L57" s="20"/>
    </row>
    <row r="58" spans="2:12" ht="14.7" customHeight="1" x14ac:dyDescent="0.3">
      <c r="B58" s="20"/>
      <c r="C58" s="198"/>
      <c r="D58" s="198"/>
      <c r="E58" s="198"/>
      <c r="F58" s="198"/>
      <c r="G58" s="89" t="b">
        <v>0</v>
      </c>
      <c r="H58" s="82" t="b">
        <v>0</v>
      </c>
      <c r="I58" s="82" t="b">
        <v>0</v>
      </c>
      <c r="J58" s="94"/>
      <c r="K58" s="95"/>
      <c r="L58" s="20"/>
    </row>
    <row r="59" spans="2:12" ht="16.2" x14ac:dyDescent="0.3">
      <c r="B59" s="20"/>
      <c r="C59" s="198" t="s">
        <v>594</v>
      </c>
      <c r="D59" s="198"/>
      <c r="E59" s="198"/>
      <c r="F59" s="198"/>
      <c r="G59" s="87" t="s">
        <v>58</v>
      </c>
      <c r="H59" s="140" t="s">
        <v>59</v>
      </c>
      <c r="I59" s="140" t="s">
        <v>60</v>
      </c>
      <c r="J59" s="140"/>
      <c r="K59" s="88"/>
      <c r="L59" s="20"/>
    </row>
    <row r="60" spans="2:12" ht="14.7" customHeight="1" x14ac:dyDescent="0.3">
      <c r="B60" s="20"/>
      <c r="C60" s="198"/>
      <c r="D60" s="198"/>
      <c r="E60" s="198"/>
      <c r="F60" s="198"/>
      <c r="G60" s="89" t="b">
        <v>0</v>
      </c>
      <c r="H60" s="82" t="b">
        <v>0</v>
      </c>
      <c r="I60" s="82" t="b">
        <v>0</v>
      </c>
      <c r="J60" s="94"/>
      <c r="K60" s="95"/>
      <c r="L60" s="20"/>
    </row>
    <row r="61" spans="2:12" ht="16.2" x14ac:dyDescent="0.3">
      <c r="B61" s="20"/>
      <c r="C61" s="198" t="s">
        <v>595</v>
      </c>
      <c r="D61" s="198"/>
      <c r="E61" s="198"/>
      <c r="F61" s="198"/>
      <c r="G61" s="87" t="s">
        <v>58</v>
      </c>
      <c r="H61" s="140" t="s">
        <v>59</v>
      </c>
      <c r="I61" s="140" t="s">
        <v>60</v>
      </c>
      <c r="J61" s="140"/>
      <c r="K61" s="88"/>
      <c r="L61" s="20"/>
    </row>
    <row r="62" spans="2:12" ht="14.7" customHeight="1" x14ac:dyDescent="0.3">
      <c r="B62" s="20"/>
      <c r="C62" s="198"/>
      <c r="D62" s="198"/>
      <c r="E62" s="198"/>
      <c r="F62" s="198"/>
      <c r="G62" s="89" t="b">
        <v>0</v>
      </c>
      <c r="H62" s="82" t="b">
        <v>0</v>
      </c>
      <c r="I62" s="82" t="b">
        <v>0</v>
      </c>
      <c r="J62" s="94"/>
      <c r="K62" s="95"/>
      <c r="L62" s="20"/>
    </row>
    <row r="63" spans="2:12" ht="16.2" x14ac:dyDescent="0.3">
      <c r="B63" s="20"/>
      <c r="C63" s="197" t="s">
        <v>596</v>
      </c>
      <c r="D63" s="197"/>
      <c r="E63" s="197"/>
      <c r="F63" s="197"/>
      <c r="G63" s="87" t="s">
        <v>58</v>
      </c>
      <c r="H63" s="140">
        <v>0</v>
      </c>
      <c r="I63" s="140">
        <v>1</v>
      </c>
      <c r="J63" s="140">
        <v>2</v>
      </c>
      <c r="K63" s="88">
        <v>3</v>
      </c>
      <c r="L63" s="20"/>
    </row>
    <row r="64" spans="2:12" ht="14.7" customHeight="1" x14ac:dyDescent="0.3">
      <c r="B64" s="20"/>
      <c r="C64" s="197"/>
      <c r="D64" s="197"/>
      <c r="E64" s="197"/>
      <c r="F64" s="197"/>
      <c r="G64" s="89" t="b">
        <v>0</v>
      </c>
      <c r="H64" s="82" t="b">
        <v>0</v>
      </c>
      <c r="I64" s="82" t="b">
        <v>0</v>
      </c>
      <c r="J64" s="82" t="b">
        <v>0</v>
      </c>
      <c r="K64" s="91" t="b">
        <v>0</v>
      </c>
      <c r="L64" s="20"/>
    </row>
    <row r="65" spans="2:12" ht="16.2" x14ac:dyDescent="0.3">
      <c r="B65" s="20"/>
      <c r="C65" s="197" t="s">
        <v>597</v>
      </c>
      <c r="D65" s="197"/>
      <c r="E65" s="197"/>
      <c r="F65" s="197"/>
      <c r="G65" s="87" t="s">
        <v>58</v>
      </c>
      <c r="H65" s="140">
        <v>0</v>
      </c>
      <c r="I65" s="140">
        <v>1</v>
      </c>
      <c r="J65" s="140">
        <v>2</v>
      </c>
      <c r="K65" s="88">
        <v>3</v>
      </c>
      <c r="L65" s="20"/>
    </row>
    <row r="66" spans="2:12" ht="14.7" customHeight="1" x14ac:dyDescent="0.3">
      <c r="B66" s="20"/>
      <c r="C66" s="197"/>
      <c r="D66" s="197"/>
      <c r="E66" s="197"/>
      <c r="F66" s="197"/>
      <c r="G66" s="89" t="b">
        <v>0</v>
      </c>
      <c r="H66" s="82" t="b">
        <v>0</v>
      </c>
      <c r="I66" s="82" t="b">
        <v>0</v>
      </c>
      <c r="J66" s="82" t="b">
        <v>0</v>
      </c>
      <c r="K66" s="91" t="b">
        <v>0</v>
      </c>
      <c r="L66" s="20"/>
    </row>
    <row r="67" spans="2:12" ht="16.2" x14ac:dyDescent="0.3">
      <c r="B67" s="20"/>
      <c r="C67" s="197" t="s">
        <v>598</v>
      </c>
      <c r="D67" s="197"/>
      <c r="E67" s="197"/>
      <c r="F67" s="197"/>
      <c r="G67" s="87" t="s">
        <v>58</v>
      </c>
      <c r="H67" s="140">
        <v>0</v>
      </c>
      <c r="I67" s="140">
        <v>1</v>
      </c>
      <c r="J67" s="140">
        <v>2</v>
      </c>
      <c r="K67" s="88">
        <v>3</v>
      </c>
      <c r="L67" s="20"/>
    </row>
    <row r="68" spans="2:12" ht="14.7" customHeight="1" x14ac:dyDescent="0.3">
      <c r="B68" s="20"/>
      <c r="C68" s="197"/>
      <c r="D68" s="197"/>
      <c r="E68" s="197"/>
      <c r="F68" s="197"/>
      <c r="G68" s="89" t="b">
        <v>0</v>
      </c>
      <c r="H68" s="82" t="b">
        <v>0</v>
      </c>
      <c r="I68" s="82" t="b">
        <v>0</v>
      </c>
      <c r="J68" s="82" t="b">
        <v>0</v>
      </c>
      <c r="K68" s="91" t="b">
        <v>0</v>
      </c>
      <c r="L68" s="20"/>
    </row>
    <row r="69" spans="2:12" ht="16.2" x14ac:dyDescent="0.3">
      <c r="B69" s="20"/>
      <c r="C69" s="197" t="s">
        <v>599</v>
      </c>
      <c r="D69" s="197"/>
      <c r="E69" s="197"/>
      <c r="F69" s="197"/>
      <c r="G69" s="87" t="s">
        <v>58</v>
      </c>
      <c r="H69" s="140">
        <v>0</v>
      </c>
      <c r="I69" s="140">
        <v>1</v>
      </c>
      <c r="J69" s="140">
        <v>2</v>
      </c>
      <c r="K69" s="88">
        <v>3</v>
      </c>
      <c r="L69" s="20"/>
    </row>
    <row r="70" spans="2:12" ht="14.7" customHeight="1" x14ac:dyDescent="0.3">
      <c r="B70" s="20"/>
      <c r="C70" s="197"/>
      <c r="D70" s="197"/>
      <c r="E70" s="197"/>
      <c r="F70" s="197"/>
      <c r="G70" s="89" t="b">
        <v>0</v>
      </c>
      <c r="H70" s="82" t="b">
        <v>0</v>
      </c>
      <c r="I70" s="82" t="b">
        <v>0</v>
      </c>
      <c r="J70" s="82" t="b">
        <v>0</v>
      </c>
      <c r="K70" s="91" t="b">
        <v>0</v>
      </c>
      <c r="L70" s="20"/>
    </row>
    <row r="71" spans="2:12" ht="24" customHeight="1" x14ac:dyDescent="0.4">
      <c r="B71" s="20"/>
      <c r="C71" s="22" t="s">
        <v>600</v>
      </c>
      <c r="D71" s="22"/>
      <c r="E71" s="22"/>
      <c r="F71" s="20"/>
      <c r="G71" s="20"/>
      <c r="H71" s="20"/>
      <c r="I71" s="20"/>
      <c r="J71" s="21"/>
      <c r="K71" s="21"/>
      <c r="L71" s="20"/>
    </row>
    <row r="72" spans="2:12" ht="16.2" x14ac:dyDescent="0.3">
      <c r="B72" s="20"/>
      <c r="C72" s="198" t="s">
        <v>601</v>
      </c>
      <c r="D72" s="198"/>
      <c r="E72" s="198"/>
      <c r="F72" s="198"/>
      <c r="G72" s="87" t="s">
        <v>58</v>
      </c>
      <c r="H72" s="140" t="s">
        <v>59</v>
      </c>
      <c r="I72" s="140" t="s">
        <v>60</v>
      </c>
      <c r="J72" s="140"/>
      <c r="K72" s="88"/>
      <c r="L72" s="20"/>
    </row>
    <row r="73" spans="2:12" x14ac:dyDescent="0.3">
      <c r="B73" s="20"/>
      <c r="C73" s="198"/>
      <c r="D73" s="198"/>
      <c r="E73" s="198"/>
      <c r="F73" s="198"/>
      <c r="G73" s="89" t="b">
        <v>0</v>
      </c>
      <c r="H73" s="82" t="b">
        <v>0</v>
      </c>
      <c r="I73" s="82" t="b">
        <v>0</v>
      </c>
      <c r="J73" s="94"/>
      <c r="K73" s="95"/>
      <c r="L73" s="20"/>
    </row>
    <row r="74" spans="2:12" ht="16.2" x14ac:dyDescent="0.3">
      <c r="B74" s="20"/>
      <c r="C74" s="198" t="s">
        <v>602</v>
      </c>
      <c r="D74" s="198"/>
      <c r="E74" s="198"/>
      <c r="F74" s="198"/>
      <c r="G74" s="87" t="s">
        <v>58</v>
      </c>
      <c r="H74" s="140" t="s">
        <v>59</v>
      </c>
      <c r="I74" s="140" t="s">
        <v>60</v>
      </c>
      <c r="J74" s="140"/>
      <c r="K74" s="88"/>
      <c r="L74" s="20"/>
    </row>
    <row r="75" spans="2:12" ht="14.7" customHeight="1" x14ac:dyDescent="0.3">
      <c r="B75" s="20"/>
      <c r="C75" s="198"/>
      <c r="D75" s="198"/>
      <c r="E75" s="198"/>
      <c r="F75" s="198"/>
      <c r="G75" s="89" t="b">
        <v>0</v>
      </c>
      <c r="H75" s="82" t="b">
        <v>0</v>
      </c>
      <c r="I75" s="82" t="b">
        <v>0</v>
      </c>
      <c r="J75" s="94"/>
      <c r="K75" s="95"/>
      <c r="L75" s="20"/>
    </row>
    <row r="76" spans="2:12" x14ac:dyDescent="0.3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2:12" x14ac:dyDescent="0.3">
      <c r="B77" s="29"/>
      <c r="C77" s="29"/>
      <c r="D77" s="29"/>
      <c r="E77" s="29"/>
      <c r="F77" s="31"/>
      <c r="G77" s="31"/>
      <c r="H77" s="31"/>
      <c r="I77" s="30"/>
      <c r="J77" s="30"/>
      <c r="K77" s="30"/>
      <c r="L77" s="30"/>
    </row>
    <row r="78" spans="2:12" x14ac:dyDescent="0.3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79" spans="2:12" x14ac:dyDescent="0.3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2:12" x14ac:dyDescent="0.3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2:12" x14ac:dyDescent="0.3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</sheetData>
  <sheetProtection sheet="1" objects="1" scenarios="1"/>
  <mergeCells count="34">
    <mergeCell ref="C72:F73"/>
    <mergeCell ref="C74:F75"/>
    <mergeCell ref="C48:F49"/>
    <mergeCell ref="C59:F60"/>
    <mergeCell ref="C57:F58"/>
    <mergeCell ref="C61:F62"/>
    <mergeCell ref="C63:F64"/>
    <mergeCell ref="C65:F66"/>
    <mergeCell ref="C67:F68"/>
    <mergeCell ref="C69:F70"/>
    <mergeCell ref="C55:F56"/>
    <mergeCell ref="C42:F43"/>
    <mergeCell ref="C44:F45"/>
    <mergeCell ref="C46:F47"/>
    <mergeCell ref="C50:F51"/>
    <mergeCell ref="C52:F53"/>
    <mergeCell ref="C40:F41"/>
    <mergeCell ref="C18:F19"/>
    <mergeCell ref="C20:F21"/>
    <mergeCell ref="C22:F23"/>
    <mergeCell ref="C24:F25"/>
    <mergeCell ref="C26:F27"/>
    <mergeCell ref="C28:F29"/>
    <mergeCell ref="C30:F31"/>
    <mergeCell ref="C32:F33"/>
    <mergeCell ref="C34:F35"/>
    <mergeCell ref="C36:F37"/>
    <mergeCell ref="C38:F39"/>
    <mergeCell ref="C16:F17"/>
    <mergeCell ref="F3:K5"/>
    <mergeCell ref="C8:I8"/>
    <mergeCell ref="C10:F11"/>
    <mergeCell ref="C12:F13"/>
    <mergeCell ref="C14:F15"/>
  </mergeCells>
  <conditionalFormatting sqref="C12">
    <cfRule type="expression" dxfId="40" priority="32">
      <formula>AND($G$13:$K$13=FALSE)</formula>
    </cfRule>
  </conditionalFormatting>
  <conditionalFormatting sqref="C14">
    <cfRule type="expression" dxfId="39" priority="30">
      <formula>AND($G$15:$K$15=FALSE)</formula>
    </cfRule>
  </conditionalFormatting>
  <conditionalFormatting sqref="C16">
    <cfRule type="expression" dxfId="38" priority="29">
      <formula>AND($G$17:$K$17=FALSE)</formula>
    </cfRule>
  </conditionalFormatting>
  <conditionalFormatting sqref="C18">
    <cfRule type="expression" dxfId="37" priority="28">
      <formula>AND($G$19:$K$19=FALSE)</formula>
    </cfRule>
  </conditionalFormatting>
  <conditionalFormatting sqref="C20">
    <cfRule type="expression" dxfId="36" priority="27">
      <formula>AND($G$21:$K$21=FALSE)</formula>
    </cfRule>
  </conditionalFormatting>
  <conditionalFormatting sqref="C22">
    <cfRule type="expression" dxfId="35" priority="24">
      <formula>AND($G$23:$K$23=FALSE)</formula>
    </cfRule>
  </conditionalFormatting>
  <conditionalFormatting sqref="C26">
    <cfRule type="expression" dxfId="34" priority="25">
      <formula>AND($G$27:$K$27=FALSE)</formula>
    </cfRule>
  </conditionalFormatting>
  <conditionalFormatting sqref="C28">
    <cfRule type="expression" dxfId="33" priority="23">
      <formula>AND($G$29:$K$29=FALSE)</formula>
    </cfRule>
  </conditionalFormatting>
  <conditionalFormatting sqref="C30">
    <cfRule type="expression" dxfId="32" priority="22">
      <formula>AND($G$31:$K$31=FALSE)</formula>
    </cfRule>
  </conditionalFormatting>
  <conditionalFormatting sqref="C32">
    <cfRule type="expression" dxfId="31" priority="21">
      <formula>AND($G$33:$K$33=FALSE)</formula>
    </cfRule>
  </conditionalFormatting>
  <conditionalFormatting sqref="C34">
    <cfRule type="expression" dxfId="30" priority="20">
      <formula>AND($G$35:$K$35=FALSE)</formula>
    </cfRule>
  </conditionalFormatting>
  <conditionalFormatting sqref="C36">
    <cfRule type="expression" dxfId="29" priority="19">
      <formula>AND($G$37:$K$37=FALSE)</formula>
    </cfRule>
  </conditionalFormatting>
  <conditionalFormatting sqref="C38">
    <cfRule type="expression" dxfId="28" priority="18">
      <formula>AND($G$39:$K$39=FALSE)</formula>
    </cfRule>
  </conditionalFormatting>
  <conditionalFormatting sqref="C40">
    <cfRule type="expression" dxfId="27" priority="17">
      <formula>AND($G$41:$K$41=FALSE)</formula>
    </cfRule>
  </conditionalFormatting>
  <conditionalFormatting sqref="C42">
    <cfRule type="expression" dxfId="26" priority="16">
      <formula>AND($G$43:$K$43=FALSE)</formula>
    </cfRule>
  </conditionalFormatting>
  <conditionalFormatting sqref="C44">
    <cfRule type="expression" dxfId="25" priority="15">
      <formula>AND($G$45:$K$45=FALSE)</formula>
    </cfRule>
  </conditionalFormatting>
  <conditionalFormatting sqref="C46">
    <cfRule type="expression" dxfId="24" priority="8">
      <formula>AND($G$47:$K$47=FALSE)</formula>
    </cfRule>
  </conditionalFormatting>
  <conditionalFormatting sqref="C48">
    <cfRule type="expression" dxfId="23" priority="2">
      <formula>AND($G$49:$K$49=FALSE)</formula>
    </cfRule>
  </conditionalFormatting>
  <conditionalFormatting sqref="C50">
    <cfRule type="expression" dxfId="22" priority="14">
      <formula>AND($G$51:$K$51=FALSE)</formula>
    </cfRule>
  </conditionalFormatting>
  <conditionalFormatting sqref="C52">
    <cfRule type="expression" dxfId="21" priority="13">
      <formula>AND($G$53:$K$53=FALSE)</formula>
    </cfRule>
  </conditionalFormatting>
  <conditionalFormatting sqref="C55">
    <cfRule type="expression" dxfId="20" priority="12">
      <formula>AND($G$56:$K$56=FALSE)</formula>
    </cfRule>
  </conditionalFormatting>
  <conditionalFormatting sqref="C57">
    <cfRule type="expression" dxfId="19" priority="11">
      <formula>AND($G$58:$K$58=FALSE)</formula>
    </cfRule>
  </conditionalFormatting>
  <conditionalFormatting sqref="C59">
    <cfRule type="expression" dxfId="18" priority="1">
      <formula>AND($G$60:$K$60=FALSE)</formula>
    </cfRule>
  </conditionalFormatting>
  <conditionalFormatting sqref="C61">
    <cfRule type="expression" dxfId="17" priority="10">
      <formula>AND($G$62:$K$62=FALSE)</formula>
    </cfRule>
  </conditionalFormatting>
  <conditionalFormatting sqref="C63">
    <cfRule type="expression" dxfId="16" priority="9">
      <formula>AND($G$64:$K$64=FALSE)</formula>
    </cfRule>
  </conditionalFormatting>
  <conditionalFormatting sqref="C65">
    <cfRule type="expression" dxfId="15" priority="7">
      <formula>AND($G$66:$K$66=FALSE)</formula>
    </cfRule>
  </conditionalFormatting>
  <conditionalFormatting sqref="C67">
    <cfRule type="expression" dxfId="14" priority="6">
      <formula>AND($G$68:$K$68=FALSE)</formula>
    </cfRule>
  </conditionalFormatting>
  <conditionalFormatting sqref="C69">
    <cfRule type="expression" dxfId="13" priority="5">
      <formula>AND($G$70:$K$70=FALSE)</formula>
    </cfRule>
  </conditionalFormatting>
  <conditionalFormatting sqref="C72">
    <cfRule type="expression" dxfId="12" priority="4">
      <formula>AND($G$73:$K$73=FALSE)</formula>
    </cfRule>
  </conditionalFormatting>
  <conditionalFormatting sqref="C74">
    <cfRule type="expression" dxfId="11" priority="3">
      <formula>AND($G$75:$K$75=FALSE)</formula>
    </cfRule>
  </conditionalFormatting>
  <conditionalFormatting sqref="C10:F11">
    <cfRule type="expression" dxfId="10" priority="31">
      <formula>AND($G$11:$I$11=FALSE)</formula>
    </cfRule>
  </conditionalFormatting>
  <conditionalFormatting sqref="C24:F25">
    <cfRule type="expression" dxfId="9" priority="26">
      <formula>AND($G$25:$K$25=FALSE)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68FE-B790-4B4C-A8F1-F3BC07BBBC67}">
  <sheetPr codeName="Feuil36"/>
  <dimension ref="B2:M35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3">
      <c r="B8" s="20"/>
      <c r="C8" s="209" t="s">
        <v>603</v>
      </c>
      <c r="D8" s="209"/>
      <c r="E8" s="209"/>
      <c r="F8" s="209"/>
      <c r="G8" s="209"/>
      <c r="H8" s="209"/>
      <c r="I8" s="209"/>
      <c r="J8" s="20"/>
      <c r="K8" s="20"/>
      <c r="L8" s="20"/>
    </row>
    <row r="9" spans="2:13" ht="18" x14ac:dyDescent="0.4">
      <c r="B9" s="20"/>
      <c r="C9" s="22" t="s">
        <v>604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3" customHeight="1" x14ac:dyDescent="0.3">
      <c r="B10" s="20"/>
      <c r="C10" s="198" t="s">
        <v>605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2" x14ac:dyDescent="0.3">
      <c r="B12" s="20"/>
      <c r="C12" s="198" t="s">
        <v>606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3"/>
      <c r="K13" s="90"/>
      <c r="L13" s="20"/>
    </row>
    <row r="14" spans="2:13" ht="16.2" x14ac:dyDescent="0.3">
      <c r="B14" s="20"/>
      <c r="C14" s="198" t="s">
        <v>607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94"/>
      <c r="K15" s="95"/>
      <c r="L15" s="20"/>
    </row>
    <row r="16" spans="2:13" ht="18" x14ac:dyDescent="0.4">
      <c r="B16" s="20"/>
      <c r="C16" s="22" t="s">
        <v>608</v>
      </c>
      <c r="D16" s="22"/>
      <c r="E16" s="22"/>
      <c r="F16" s="20"/>
      <c r="G16" s="20"/>
      <c r="H16" s="20"/>
      <c r="I16" s="20"/>
      <c r="J16" s="21"/>
      <c r="K16" s="21"/>
      <c r="L16" s="20"/>
    </row>
    <row r="17" spans="2:12" ht="66" customHeight="1" x14ac:dyDescent="0.3">
      <c r="B17" s="20"/>
      <c r="C17" s="198" t="s">
        <v>609</v>
      </c>
      <c r="D17" s="198"/>
      <c r="E17" s="198"/>
      <c r="F17" s="198"/>
      <c r="G17" s="87" t="s">
        <v>58</v>
      </c>
      <c r="H17" s="140" t="s">
        <v>59</v>
      </c>
      <c r="I17" s="140" t="s">
        <v>60</v>
      </c>
      <c r="J17" s="140"/>
      <c r="K17" s="88"/>
      <c r="L17" s="20"/>
    </row>
    <row r="18" spans="2:12" ht="14.7" customHeight="1" x14ac:dyDescent="0.3">
      <c r="B18" s="20"/>
      <c r="C18" s="198"/>
      <c r="D18" s="198"/>
      <c r="E18" s="198"/>
      <c r="F18" s="198"/>
      <c r="G18" s="89" t="b">
        <v>0</v>
      </c>
      <c r="H18" s="82" t="b">
        <v>0</v>
      </c>
      <c r="I18" s="82" t="b">
        <v>0</v>
      </c>
      <c r="J18" s="94"/>
      <c r="K18" s="95"/>
      <c r="L18" s="20"/>
    </row>
    <row r="19" spans="2:12" ht="16.2" x14ac:dyDescent="0.3">
      <c r="B19" s="20"/>
      <c r="C19" s="198" t="s">
        <v>610</v>
      </c>
      <c r="D19" s="198"/>
      <c r="E19" s="198"/>
      <c r="F19" s="198"/>
      <c r="G19" s="87" t="s">
        <v>58</v>
      </c>
      <c r="H19" s="140" t="s">
        <v>59</v>
      </c>
      <c r="I19" s="140" t="s">
        <v>60</v>
      </c>
      <c r="J19" s="140"/>
      <c r="K19" s="88"/>
      <c r="L19" s="20"/>
    </row>
    <row r="20" spans="2:12" ht="14.7" customHeight="1" x14ac:dyDescent="0.3">
      <c r="B20" s="20"/>
      <c r="C20" s="198"/>
      <c r="D20" s="198"/>
      <c r="E20" s="198"/>
      <c r="F20" s="198"/>
      <c r="G20" s="89" t="b">
        <v>0</v>
      </c>
      <c r="H20" s="82" t="b">
        <v>0</v>
      </c>
      <c r="I20" s="82" t="b">
        <v>0</v>
      </c>
      <c r="J20" s="94"/>
      <c r="K20" s="95"/>
      <c r="L20" s="20"/>
    </row>
    <row r="21" spans="2:12" ht="16.2" x14ac:dyDescent="0.3">
      <c r="B21" s="20"/>
      <c r="C21" s="198" t="s">
        <v>611</v>
      </c>
      <c r="D21" s="198"/>
      <c r="E21" s="198"/>
      <c r="F21" s="198"/>
      <c r="G21" s="87" t="s">
        <v>58</v>
      </c>
      <c r="H21" s="140" t="s">
        <v>59</v>
      </c>
      <c r="I21" s="140" t="s">
        <v>60</v>
      </c>
      <c r="J21" s="140"/>
      <c r="K21" s="88"/>
      <c r="L21" s="20"/>
    </row>
    <row r="22" spans="2:12" ht="14.7" customHeight="1" x14ac:dyDescent="0.3">
      <c r="B22" s="20"/>
      <c r="C22" s="198"/>
      <c r="D22" s="198"/>
      <c r="E22" s="198"/>
      <c r="F22" s="198"/>
      <c r="G22" s="89" t="b">
        <v>0</v>
      </c>
      <c r="H22" s="82" t="b">
        <v>0</v>
      </c>
      <c r="I22" s="82" t="b">
        <v>0</v>
      </c>
      <c r="J22" s="94"/>
      <c r="K22" s="95"/>
      <c r="L22" s="20"/>
    </row>
    <row r="23" spans="2:12" ht="16.2" x14ac:dyDescent="0.3">
      <c r="B23" s="20"/>
      <c r="C23" s="198" t="s">
        <v>612</v>
      </c>
      <c r="D23" s="198"/>
      <c r="E23" s="198"/>
      <c r="F23" s="198"/>
      <c r="G23" s="87" t="s">
        <v>58</v>
      </c>
      <c r="H23" s="140" t="s">
        <v>59</v>
      </c>
      <c r="I23" s="140" t="s">
        <v>60</v>
      </c>
      <c r="J23" s="140"/>
      <c r="K23" s="88"/>
      <c r="L23" s="20"/>
    </row>
    <row r="24" spans="2:12" ht="14.7" customHeight="1" x14ac:dyDescent="0.3">
      <c r="B24" s="20"/>
      <c r="C24" s="198"/>
      <c r="D24" s="198"/>
      <c r="E24" s="198"/>
      <c r="F24" s="198"/>
      <c r="G24" s="89" t="b">
        <v>0</v>
      </c>
      <c r="H24" s="82" t="b">
        <v>0</v>
      </c>
      <c r="I24" s="82" t="b">
        <v>0</v>
      </c>
      <c r="J24" s="94"/>
      <c r="K24" s="95"/>
      <c r="L24" s="20"/>
    </row>
    <row r="25" spans="2:12" ht="18" x14ac:dyDescent="0.4">
      <c r="B25" s="20"/>
      <c r="C25" s="22" t="s">
        <v>613</v>
      </c>
      <c r="D25" s="22"/>
      <c r="E25" s="22"/>
      <c r="F25" s="20"/>
      <c r="G25" s="20"/>
      <c r="H25" s="20"/>
      <c r="I25" s="20"/>
      <c r="J25" s="21"/>
      <c r="K25" s="21"/>
      <c r="L25" s="20"/>
    </row>
    <row r="26" spans="2:12" ht="35.700000000000003" customHeight="1" x14ac:dyDescent="0.3">
      <c r="B26" s="20"/>
      <c r="C26" s="198" t="s">
        <v>614</v>
      </c>
      <c r="D26" s="198"/>
      <c r="E26" s="198"/>
      <c r="F26" s="198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x14ac:dyDescent="0.3">
      <c r="B27" s="20"/>
      <c r="C27" s="198"/>
      <c r="D27" s="198"/>
      <c r="E27" s="198"/>
      <c r="F27" s="198"/>
      <c r="G27" s="89" t="b">
        <v>0</v>
      </c>
      <c r="H27" s="82" t="b">
        <v>0</v>
      </c>
      <c r="I27" s="82" t="b">
        <v>0</v>
      </c>
      <c r="J27" s="94"/>
      <c r="K27" s="95"/>
      <c r="L27" s="20"/>
    </row>
    <row r="28" spans="2:12" ht="16.2" x14ac:dyDescent="0.3">
      <c r="B28" s="20"/>
      <c r="C28" s="198" t="s">
        <v>615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94"/>
      <c r="K29" s="95"/>
      <c r="L29" s="20"/>
    </row>
    <row r="30" spans="2:12" x14ac:dyDescent="0.3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2:12" x14ac:dyDescent="0.3">
      <c r="B31" s="29"/>
      <c r="C31" s="29"/>
      <c r="D31" s="29"/>
      <c r="E31" s="29"/>
      <c r="F31" s="31"/>
      <c r="G31" s="31"/>
      <c r="H31" s="31"/>
      <c r="I31" s="30"/>
      <c r="J31" s="30"/>
      <c r="K31" s="30"/>
      <c r="L31" s="30"/>
    </row>
    <row r="32" spans="2:12" x14ac:dyDescent="0.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 x14ac:dyDescent="0.3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 x14ac:dyDescent="0.3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2" x14ac:dyDescent="0.3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</sheetData>
  <sheetProtection sheet="1" objects="1" scenarios="1"/>
  <mergeCells count="11">
    <mergeCell ref="C26:F27"/>
    <mergeCell ref="C28:F29"/>
    <mergeCell ref="C14:F15"/>
    <mergeCell ref="C17:F18"/>
    <mergeCell ref="C19:F20"/>
    <mergeCell ref="C21:F22"/>
    <mergeCell ref="F3:K5"/>
    <mergeCell ref="C8:I8"/>
    <mergeCell ref="C10:F11"/>
    <mergeCell ref="C12:F13"/>
    <mergeCell ref="C23:F24"/>
  </mergeCells>
  <conditionalFormatting sqref="C12">
    <cfRule type="expression" dxfId="8" priority="27">
      <formula>AND($G$13:$K$13=FALSE)</formula>
    </cfRule>
  </conditionalFormatting>
  <conditionalFormatting sqref="C14">
    <cfRule type="expression" dxfId="7" priority="26">
      <formula>AND($G$15:$K$15=FALSE)</formula>
    </cfRule>
  </conditionalFormatting>
  <conditionalFormatting sqref="C17">
    <cfRule type="expression" dxfId="6" priority="25">
      <formula>AND($G$18:$K$18=FALSE)</formula>
    </cfRule>
  </conditionalFormatting>
  <conditionalFormatting sqref="C19">
    <cfRule type="expression" dxfId="5" priority="23">
      <formula>AND($G$20:$K$20=FALSE)</formula>
    </cfRule>
  </conditionalFormatting>
  <conditionalFormatting sqref="C21">
    <cfRule type="expression" dxfId="4" priority="21">
      <formula>AND($G$22:$K$22=FALSE)</formula>
    </cfRule>
  </conditionalFormatting>
  <conditionalFormatting sqref="C23">
    <cfRule type="expression" dxfId="3" priority="20">
      <formula>AND($G$24:$K$24=FALSE)</formula>
    </cfRule>
  </conditionalFormatting>
  <conditionalFormatting sqref="C26">
    <cfRule type="expression" dxfId="2" priority="19">
      <formula>AND($G$27:$K$27=FALSE)</formula>
    </cfRule>
  </conditionalFormatting>
  <conditionalFormatting sqref="C28">
    <cfRule type="expression" dxfId="1" priority="18">
      <formula>AND($G$29:$K$29=FALSE)</formula>
    </cfRule>
  </conditionalFormatting>
  <conditionalFormatting sqref="C10:F11">
    <cfRule type="expression" dxfId="0" priority="29">
      <formula>AND($G$11:$I$11=FALSE)</formula>
    </cfRule>
  </conditionalFormatting>
  <pageMargins left="0.7" right="0.7" top="0.75" bottom="0.75" header="0.3" footer="0.3"/>
  <pageSetup paperSize="9" scale="6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1C3D-6619-4BA3-8640-88649D7EED1A}">
  <sheetPr codeName="Feuil37"/>
  <dimension ref="A1:Z496"/>
  <sheetViews>
    <sheetView zoomScale="76" zoomScaleNormal="90" zoomScaleSheetLayoutView="100" workbookViewId="0">
      <pane ySplit="1" topLeftCell="A2" activePane="bottomLeft" state="frozen"/>
      <selection activeCell="D9" sqref="D9:D12"/>
      <selection pane="bottomLeft" activeCell="N11" sqref="N11"/>
    </sheetView>
  </sheetViews>
  <sheetFormatPr baseColWidth="10" defaultColWidth="11" defaultRowHeight="32.1" customHeight="1" x14ac:dyDescent="0.2"/>
  <cols>
    <col min="1" max="2" width="13.6640625" style="58" customWidth="1"/>
    <col min="3" max="3" width="13.33203125" style="58" customWidth="1"/>
    <col min="4" max="4" width="64.21875" style="1" customWidth="1"/>
    <col min="5" max="5" width="17.6640625" style="1" customWidth="1"/>
    <col min="6" max="6" width="13.33203125" style="59" customWidth="1"/>
    <col min="7" max="11" width="11" style="59" customWidth="1"/>
    <col min="12" max="14" width="13" style="59" customWidth="1"/>
    <col min="15" max="15" width="11" style="60" customWidth="1"/>
    <col min="16" max="16" width="16.77734375" style="59" customWidth="1"/>
    <col min="17" max="17" width="19.109375" style="59" customWidth="1"/>
    <col min="18" max="19" width="11" style="59" customWidth="1"/>
    <col min="20" max="20" width="19.77734375" style="1" customWidth="1"/>
    <col min="21" max="21" width="15.5546875" style="61" customWidth="1"/>
    <col min="22" max="22" width="15.5546875" style="62" customWidth="1"/>
    <col min="23" max="23" width="15.5546875" style="58" customWidth="1"/>
    <col min="24" max="24" width="15.5546875" style="63" customWidth="1"/>
    <col min="25" max="25" width="15.5546875" style="1" customWidth="1"/>
    <col min="26" max="16384" width="11" style="1"/>
  </cols>
  <sheetData>
    <row r="1" spans="1:26" s="43" customFormat="1" ht="32.1" customHeight="1" x14ac:dyDescent="0.3">
      <c r="A1" s="143" t="s">
        <v>616</v>
      </c>
      <c r="B1" s="143" t="s">
        <v>617</v>
      </c>
      <c r="C1" s="40" t="s">
        <v>618</v>
      </c>
      <c r="D1" s="143" t="s">
        <v>619</v>
      </c>
      <c r="E1" s="143" t="s">
        <v>620</v>
      </c>
      <c r="F1" s="143" t="s">
        <v>621</v>
      </c>
      <c r="G1" s="143" t="s">
        <v>622</v>
      </c>
      <c r="H1" s="143" t="s">
        <v>623</v>
      </c>
      <c r="I1" s="143" t="s">
        <v>624</v>
      </c>
      <c r="J1" s="143" t="s">
        <v>625</v>
      </c>
      <c r="K1" s="143" t="s">
        <v>626</v>
      </c>
      <c r="L1" s="143" t="s">
        <v>627</v>
      </c>
      <c r="M1" s="143" t="s">
        <v>628</v>
      </c>
      <c r="N1" s="143" t="s">
        <v>629</v>
      </c>
      <c r="O1" s="41" t="s">
        <v>630</v>
      </c>
      <c r="P1" s="143" t="s">
        <v>631</v>
      </c>
      <c r="Q1" s="143" t="s">
        <v>632</v>
      </c>
      <c r="R1" s="143" t="s">
        <v>633</v>
      </c>
      <c r="S1" s="143" t="s">
        <v>634</v>
      </c>
      <c r="T1" s="143" t="s">
        <v>635</v>
      </c>
      <c r="U1" s="144" t="s">
        <v>636</v>
      </c>
      <c r="V1" s="145" t="s">
        <v>637</v>
      </c>
      <c r="W1" s="143" t="s">
        <v>638</v>
      </c>
      <c r="X1" s="145" t="s">
        <v>639</v>
      </c>
      <c r="Y1" s="145" t="s">
        <v>640</v>
      </c>
      <c r="Z1" s="42"/>
    </row>
    <row r="2" spans="1:26" s="3" customFormat="1" ht="32.1" customHeight="1" x14ac:dyDescent="0.3">
      <c r="A2" s="44" t="s">
        <v>641</v>
      </c>
      <c r="B2" s="44" t="s">
        <v>641</v>
      </c>
      <c r="C2" s="44" t="s">
        <v>641</v>
      </c>
      <c r="D2" s="45" t="s">
        <v>642</v>
      </c>
      <c r="E2" s="45">
        <f>IF(B2&lt;&gt;B1,10,IF(C2&lt;&gt;C1,E1+3,E1+2))</f>
        <v>10</v>
      </c>
      <c r="F2" s="142" t="s">
        <v>641</v>
      </c>
      <c r="G2" s="142" t="s">
        <v>641</v>
      </c>
      <c r="H2" s="142" t="s">
        <v>641</v>
      </c>
      <c r="I2" s="142" t="s">
        <v>641</v>
      </c>
      <c r="J2" s="142" t="s">
        <v>641</v>
      </c>
      <c r="K2" s="142" t="s">
        <v>641</v>
      </c>
      <c r="L2" s="142" t="s">
        <v>643</v>
      </c>
      <c r="M2" s="142" t="str">
        <f ca="1">IFERROR(INDEX(INDIRECT(B2 &amp; "!G" &amp; E2 &amp; ":K" &amp; E2), 1, MATCH(TRUE, INDIRECT(B2 &amp; "!G" &amp; (E2+1) &amp; ":K" &amp; (E2+1)), 0)), "Aucune case cochée")</f>
        <v>Aucune case cochée</v>
      </c>
      <c r="N2" s="142"/>
      <c r="O2" s="142" t="s">
        <v>643</v>
      </c>
      <c r="P2" s="142" t="s">
        <v>643</v>
      </c>
      <c r="Q2" s="142" t="s">
        <v>643</v>
      </c>
      <c r="R2" s="142" t="s">
        <v>643</v>
      </c>
      <c r="S2" s="142" t="s">
        <v>643</v>
      </c>
      <c r="T2" s="142" t="s">
        <v>643</v>
      </c>
      <c r="U2" s="142" t="s">
        <v>643</v>
      </c>
      <c r="V2" s="142" t="s">
        <v>643</v>
      </c>
      <c r="W2" s="142" t="s">
        <v>643</v>
      </c>
      <c r="X2" s="142" t="s">
        <v>643</v>
      </c>
      <c r="Y2" s="46"/>
      <c r="Z2" s="16"/>
    </row>
    <row r="3" spans="1:26" s="3" customFormat="1" ht="32.1" customHeight="1" x14ac:dyDescent="0.3">
      <c r="A3" s="44" t="s">
        <v>641</v>
      </c>
      <c r="B3" s="44" t="s">
        <v>641</v>
      </c>
      <c r="C3" s="44" t="s">
        <v>641</v>
      </c>
      <c r="D3" s="45" t="s">
        <v>644</v>
      </c>
      <c r="E3" s="45">
        <f t="shared" ref="E3:E66" si="0">IF(B3&lt;&gt;B2,10,IF(C3&lt;&gt;C2,E2+3,E2+2))</f>
        <v>12</v>
      </c>
      <c r="F3" s="142" t="s">
        <v>641</v>
      </c>
      <c r="G3" s="142" t="s">
        <v>641</v>
      </c>
      <c r="H3" s="142" t="s">
        <v>641</v>
      </c>
      <c r="I3" s="142" t="s">
        <v>641</v>
      </c>
      <c r="J3" s="142" t="s">
        <v>641</v>
      </c>
      <c r="K3" s="142" t="s">
        <v>641</v>
      </c>
      <c r="L3" s="142" t="s">
        <v>643</v>
      </c>
      <c r="M3" s="142" t="str">
        <f t="shared" ref="M3:M4" ca="1" si="1">IFERROR(INDEX(INDIRECT(B3 &amp; "!G" &amp; F3 &amp; ":K" &amp; F3), 1, MATCH(TRUE, INDIRECT(B3 &amp; "!G" &amp; (F3+1) &amp; ":K" &amp; (F3+1)), 0)), "Aucune case cochée")</f>
        <v>Aucune case cochée</v>
      </c>
      <c r="N3" s="142"/>
      <c r="O3" s="142" t="s">
        <v>643</v>
      </c>
      <c r="P3" s="142" t="s">
        <v>643</v>
      </c>
      <c r="Q3" s="142" t="s">
        <v>643</v>
      </c>
      <c r="R3" s="142" t="s">
        <v>643</v>
      </c>
      <c r="S3" s="142" t="s">
        <v>643</v>
      </c>
      <c r="T3" s="142" t="s">
        <v>643</v>
      </c>
      <c r="U3" s="142" t="s">
        <v>643</v>
      </c>
      <c r="V3" s="142" t="s">
        <v>643</v>
      </c>
      <c r="W3" s="142" t="s">
        <v>643</v>
      </c>
      <c r="X3" s="142" t="s">
        <v>643</v>
      </c>
      <c r="Y3" s="46"/>
      <c r="Z3" s="16"/>
    </row>
    <row r="4" spans="1:26" ht="32.1" customHeight="1" x14ac:dyDescent="0.2">
      <c r="A4" s="44" t="s">
        <v>641</v>
      </c>
      <c r="B4" s="44" t="s">
        <v>641</v>
      </c>
      <c r="C4" s="44" t="s">
        <v>641</v>
      </c>
      <c r="D4" s="44" t="s">
        <v>645</v>
      </c>
      <c r="E4" s="45">
        <f t="shared" si="0"/>
        <v>14</v>
      </c>
      <c r="F4" s="142" t="s">
        <v>641</v>
      </c>
      <c r="G4" s="142" t="s">
        <v>641</v>
      </c>
      <c r="H4" s="142" t="s">
        <v>641</v>
      </c>
      <c r="I4" s="142" t="s">
        <v>641</v>
      </c>
      <c r="J4" s="142" t="s">
        <v>641</v>
      </c>
      <c r="K4" s="142" t="s">
        <v>641</v>
      </c>
      <c r="L4" s="142" t="s">
        <v>643</v>
      </c>
      <c r="M4" s="142" t="str">
        <f t="shared" ca="1" si="1"/>
        <v>Aucune case cochée</v>
      </c>
      <c r="N4" s="142"/>
      <c r="O4" s="142" t="s">
        <v>643</v>
      </c>
      <c r="P4" s="142" t="s">
        <v>643</v>
      </c>
      <c r="Q4" s="142" t="s">
        <v>643</v>
      </c>
      <c r="R4" s="142" t="s">
        <v>643</v>
      </c>
      <c r="S4" s="142" t="s">
        <v>643</v>
      </c>
      <c r="T4" s="142" t="s">
        <v>643</v>
      </c>
      <c r="U4" s="142" t="s">
        <v>643</v>
      </c>
      <c r="V4" s="142" t="s">
        <v>643</v>
      </c>
      <c r="W4" s="142" t="s">
        <v>643</v>
      </c>
      <c r="X4" s="142" t="s">
        <v>643</v>
      </c>
      <c r="Y4" s="46"/>
      <c r="Z4" s="17"/>
    </row>
    <row r="5" spans="1:26" s="2" customFormat="1" ht="32.1" customHeight="1" x14ac:dyDescent="0.3">
      <c r="A5" s="44" t="s">
        <v>646</v>
      </c>
      <c r="B5" s="44" t="s">
        <v>647</v>
      </c>
      <c r="C5" s="44" t="s">
        <v>648</v>
      </c>
      <c r="D5" s="44" t="s">
        <v>64</v>
      </c>
      <c r="E5" s="45">
        <f t="shared" si="0"/>
        <v>10</v>
      </c>
      <c r="F5" s="142" t="s">
        <v>649</v>
      </c>
      <c r="G5" s="142" t="s">
        <v>650</v>
      </c>
      <c r="H5" s="142" t="s">
        <v>650</v>
      </c>
      <c r="I5" s="142" t="s">
        <v>650</v>
      </c>
      <c r="J5" s="142" t="s">
        <v>651</v>
      </c>
      <c r="K5" s="142" t="s">
        <v>210</v>
      </c>
      <c r="L5" s="142">
        <v>3</v>
      </c>
      <c r="M5" s="142" t="str">
        <f ca="1">IFERROR(INDEX(INDIRECT(B5 &amp; "!G" &amp; E5 &amp; ":M" &amp; E5), 1, MATCH(TRUE, INDIRECT(B5 &amp; "!G" &amp; (E5+1) &amp; ":M" &amp; (E5+1)), 0)), "Aucune case cochée")</f>
        <v>Aucune case cochée</v>
      </c>
      <c r="N5" s="142" t="str">
        <f ca="1">IF(M5="Aucune case cochée","Aucune case cochée",IF(M5="NC","Non concerné",IF(M5="Oui",1*L5,IF(M5="Non",0,L5*M5))))</f>
        <v>Aucune case cochée</v>
      </c>
      <c r="O5" s="47" t="s">
        <v>210</v>
      </c>
      <c r="P5" s="142" t="str">
        <f t="shared" ref="P5:P10" si="2">IF(O5="Non concerné",O5,O5*L5)</f>
        <v>Non concerné</v>
      </c>
      <c r="Q5" s="142">
        <f ca="1">IF(N5="Non concerné",N5,R5)</f>
        <v>3</v>
      </c>
      <c r="R5" s="142">
        <f>IF(F5="Binaire",1,3)*L5</f>
        <v>3</v>
      </c>
      <c r="S5" s="218">
        <f>SUM(P5:P7)</f>
        <v>0</v>
      </c>
      <c r="T5" s="218">
        <f>SUM(R5:R7)</f>
        <v>9</v>
      </c>
      <c r="U5" s="219">
        <f>S5/T5</f>
        <v>0</v>
      </c>
      <c r="V5" s="220">
        <v>0.4</v>
      </c>
      <c r="W5" s="222">
        <f>U5*V5+U8*V8</f>
        <v>0</v>
      </c>
      <c r="X5" s="220">
        <v>0.01</v>
      </c>
      <c r="Y5" s="216">
        <f ca="1">W5*X5+W10*X10+W33*X33+W85*X85+W107*X107+W119*X119+W133*X133+W149*X149+W164*X164+W180*X180+W194*X194+W233*X233+W262*X262+W271*X271+W286*X286+W290*X290+W380*X380+W455*X455+W487*X487</f>
        <v>0.5619880071324509</v>
      </c>
      <c r="Z5" s="18"/>
    </row>
    <row r="6" spans="1:26" s="2" customFormat="1" ht="32.1" customHeight="1" x14ac:dyDescent="0.3">
      <c r="A6" s="44" t="s">
        <v>646</v>
      </c>
      <c r="B6" s="44" t="s">
        <v>647</v>
      </c>
      <c r="C6" s="44" t="s">
        <v>648</v>
      </c>
      <c r="D6" s="44" t="s">
        <v>65</v>
      </c>
      <c r="E6" s="45">
        <f t="shared" si="0"/>
        <v>12</v>
      </c>
      <c r="F6" s="142" t="s">
        <v>649</v>
      </c>
      <c r="G6" s="142" t="s">
        <v>650</v>
      </c>
      <c r="H6" s="142" t="s">
        <v>650</v>
      </c>
      <c r="I6" s="142" t="s">
        <v>651</v>
      </c>
      <c r="J6" s="142" t="s">
        <v>210</v>
      </c>
      <c r="K6" s="142" t="s">
        <v>210</v>
      </c>
      <c r="L6" s="142">
        <v>3</v>
      </c>
      <c r="M6" s="142" t="str">
        <f t="shared" ref="M6:M69" ca="1" si="3">IFERROR(INDEX(INDIRECT(B6 &amp; "!G" &amp; E6 &amp; ":M" &amp; E6), 1, MATCH(TRUE, INDIRECT(B6 &amp; "!G" &amp; (E6+1) &amp; ":M" &amp; (E6+1)), 0)), "Aucune case cochée")</f>
        <v>Aucune case cochée</v>
      </c>
      <c r="N6" s="142" t="str">
        <f t="shared" ref="N6:N10" ca="1" si="4">IF(M6="Aucune case cochée","Aucune case cochée",IF(M6="NC","Non concerné",IF(M6="Oui",1*L6,IF(M6="Non",0,L6*M6))))</f>
        <v>Aucune case cochée</v>
      </c>
      <c r="O6" s="47" t="s">
        <v>210</v>
      </c>
      <c r="P6" s="142" t="str">
        <f t="shared" si="2"/>
        <v>Non concerné</v>
      </c>
      <c r="Q6" s="142">
        <f t="shared" ref="Q6:Q69" ca="1" si="5">IF(N6="Non concerné",N6,R6)</f>
        <v>3</v>
      </c>
      <c r="R6" s="142">
        <f t="shared" ref="R6:R10" si="6">IF(F6="Binaire",1,3)*L6</f>
        <v>3</v>
      </c>
      <c r="S6" s="218"/>
      <c r="T6" s="218"/>
      <c r="U6" s="219"/>
      <c r="V6" s="220"/>
      <c r="W6" s="218"/>
      <c r="X6" s="220"/>
      <c r="Y6" s="217"/>
      <c r="Z6" s="18"/>
    </row>
    <row r="7" spans="1:26" ht="32.1" customHeight="1" x14ac:dyDescent="0.2">
      <c r="A7" s="44" t="s">
        <v>646</v>
      </c>
      <c r="B7" s="44" t="s">
        <v>647</v>
      </c>
      <c r="C7" s="44" t="s">
        <v>648</v>
      </c>
      <c r="D7" s="44" t="s">
        <v>66</v>
      </c>
      <c r="E7" s="45">
        <f t="shared" si="0"/>
        <v>14</v>
      </c>
      <c r="F7" s="142" t="s">
        <v>649</v>
      </c>
      <c r="G7" s="142" t="s">
        <v>650</v>
      </c>
      <c r="H7" s="142" t="s">
        <v>651</v>
      </c>
      <c r="I7" s="142" t="s">
        <v>651</v>
      </c>
      <c r="J7" s="142" t="s">
        <v>210</v>
      </c>
      <c r="K7" s="142" t="s">
        <v>210</v>
      </c>
      <c r="L7" s="142">
        <v>3</v>
      </c>
      <c r="M7" s="142" t="str">
        <f t="shared" ca="1" si="3"/>
        <v>Aucune case cochée</v>
      </c>
      <c r="N7" s="142" t="str">
        <f t="shared" ca="1" si="4"/>
        <v>Aucune case cochée</v>
      </c>
      <c r="O7" s="47" t="s">
        <v>210</v>
      </c>
      <c r="P7" s="142" t="str">
        <f t="shared" si="2"/>
        <v>Non concerné</v>
      </c>
      <c r="Q7" s="142">
        <f t="shared" ca="1" si="5"/>
        <v>3</v>
      </c>
      <c r="R7" s="142">
        <f t="shared" si="6"/>
        <v>3</v>
      </c>
      <c r="S7" s="218"/>
      <c r="T7" s="218"/>
      <c r="U7" s="219"/>
      <c r="V7" s="220"/>
      <c r="W7" s="218"/>
      <c r="X7" s="220"/>
      <c r="Y7" s="217"/>
      <c r="Z7" s="17"/>
    </row>
    <row r="8" spans="1:26" ht="32.1" customHeight="1" x14ac:dyDescent="0.2">
      <c r="A8" s="44" t="s">
        <v>646</v>
      </c>
      <c r="B8" s="44" t="s">
        <v>647</v>
      </c>
      <c r="C8" s="44" t="s">
        <v>652</v>
      </c>
      <c r="D8" s="44" t="s">
        <v>67</v>
      </c>
      <c r="E8" s="45">
        <f t="shared" si="0"/>
        <v>17</v>
      </c>
      <c r="F8" s="142" t="s">
        <v>649</v>
      </c>
      <c r="G8" s="142" t="s">
        <v>650</v>
      </c>
      <c r="H8" s="142" t="s">
        <v>650</v>
      </c>
      <c r="I8" s="142" t="s">
        <v>651</v>
      </c>
      <c r="J8" s="142" t="s">
        <v>651</v>
      </c>
      <c r="K8" s="142" t="s">
        <v>210</v>
      </c>
      <c r="L8" s="142">
        <v>3</v>
      </c>
      <c r="M8" s="142" t="str">
        <f t="shared" ca="1" si="3"/>
        <v>Aucune case cochée</v>
      </c>
      <c r="N8" s="142" t="str">
        <f t="shared" ca="1" si="4"/>
        <v>Aucune case cochée</v>
      </c>
      <c r="O8" s="47" t="s">
        <v>210</v>
      </c>
      <c r="P8" s="142" t="str">
        <f t="shared" si="2"/>
        <v>Non concerné</v>
      </c>
      <c r="Q8" s="142">
        <f t="shared" ca="1" si="5"/>
        <v>3</v>
      </c>
      <c r="R8" s="142">
        <f t="shared" si="6"/>
        <v>3</v>
      </c>
      <c r="S8" s="218">
        <f>SUM(P8:P9)</f>
        <v>0</v>
      </c>
      <c r="T8" s="218">
        <f>SUM(R8:R9)</f>
        <v>5</v>
      </c>
      <c r="U8" s="219">
        <f>S8/T8</f>
        <v>0</v>
      </c>
      <c r="V8" s="220">
        <v>0.6</v>
      </c>
      <c r="W8" s="218"/>
      <c r="X8" s="220"/>
      <c r="Y8" s="217"/>
      <c r="Z8" s="17"/>
    </row>
    <row r="9" spans="1:26" ht="32.1" customHeight="1" x14ac:dyDescent="0.2">
      <c r="A9" s="44" t="s">
        <v>646</v>
      </c>
      <c r="B9" s="44" t="s">
        <v>647</v>
      </c>
      <c r="C9" s="44" t="s">
        <v>652</v>
      </c>
      <c r="D9" s="44" t="s">
        <v>68</v>
      </c>
      <c r="E9" s="45">
        <f t="shared" si="0"/>
        <v>19</v>
      </c>
      <c r="F9" s="142" t="s">
        <v>649</v>
      </c>
      <c r="G9" s="142" t="s">
        <v>650</v>
      </c>
      <c r="H9" s="142" t="s">
        <v>650</v>
      </c>
      <c r="I9" s="142" t="s">
        <v>650</v>
      </c>
      <c r="J9" s="142" t="s">
        <v>650</v>
      </c>
      <c r="K9" s="142" t="s">
        <v>651</v>
      </c>
      <c r="L9" s="142">
        <v>2</v>
      </c>
      <c r="M9" s="142" t="str">
        <f t="shared" ca="1" si="3"/>
        <v>Aucune case cochée</v>
      </c>
      <c r="N9" s="142" t="str">
        <f t="shared" ca="1" si="4"/>
        <v>Aucune case cochée</v>
      </c>
      <c r="O9" s="47" t="s">
        <v>210</v>
      </c>
      <c r="P9" s="142" t="str">
        <f t="shared" si="2"/>
        <v>Non concerné</v>
      </c>
      <c r="Q9" s="142">
        <f t="shared" ca="1" si="5"/>
        <v>2</v>
      </c>
      <c r="R9" s="142">
        <f t="shared" si="6"/>
        <v>2</v>
      </c>
      <c r="S9" s="218"/>
      <c r="T9" s="218"/>
      <c r="U9" s="219"/>
      <c r="V9" s="220"/>
      <c r="W9" s="218"/>
      <c r="X9" s="220"/>
      <c r="Y9" s="217"/>
      <c r="Z9" s="17"/>
    </row>
    <row r="10" spans="1:26" ht="32.1" customHeight="1" x14ac:dyDescent="0.2">
      <c r="A10" s="44" t="s">
        <v>653</v>
      </c>
      <c r="B10" s="44" t="s">
        <v>653</v>
      </c>
      <c r="C10" s="44" t="s">
        <v>654</v>
      </c>
      <c r="D10" s="44" t="s">
        <v>71</v>
      </c>
      <c r="E10" s="45">
        <f t="shared" si="0"/>
        <v>10</v>
      </c>
      <c r="F10" s="142" t="s">
        <v>649</v>
      </c>
      <c r="G10" s="142" t="s">
        <v>650</v>
      </c>
      <c r="H10" s="142" t="s">
        <v>650</v>
      </c>
      <c r="I10" s="142" t="s">
        <v>651</v>
      </c>
      <c r="J10" s="142" t="s">
        <v>210</v>
      </c>
      <c r="K10" s="142" t="s">
        <v>210</v>
      </c>
      <c r="L10" s="142">
        <v>2</v>
      </c>
      <c r="M10" s="142" t="str">
        <f t="shared" ca="1" si="3"/>
        <v>Aucune case cochée</v>
      </c>
      <c r="N10" s="142" t="str">
        <f t="shared" ca="1" si="4"/>
        <v>Aucune case cochée</v>
      </c>
      <c r="O10" s="47">
        <v>1</v>
      </c>
      <c r="P10" s="142">
        <f t="shared" si="2"/>
        <v>2</v>
      </c>
      <c r="Q10" s="142">
        <f t="shared" ca="1" si="5"/>
        <v>2</v>
      </c>
      <c r="R10" s="142">
        <f t="shared" si="6"/>
        <v>2</v>
      </c>
      <c r="S10" s="218">
        <f ca="1">SUM(P10:P21)</f>
        <v>16</v>
      </c>
      <c r="T10" s="218">
        <f>SUM(R10:R21)</f>
        <v>36</v>
      </c>
      <c r="U10" s="219">
        <f ca="1">+S10/T10</f>
        <v>0.44444444444444442</v>
      </c>
      <c r="V10" s="220">
        <v>0.4</v>
      </c>
      <c r="W10" s="221">
        <f ca="1">U10*V10+U22*V22+U27*V27</f>
        <v>0.3720634920634921</v>
      </c>
      <c r="X10" s="220">
        <v>0.04</v>
      </c>
      <c r="Y10" s="217"/>
      <c r="Z10" s="17"/>
    </row>
    <row r="11" spans="1:26" ht="32.1" customHeight="1" x14ac:dyDescent="0.2">
      <c r="A11" s="44" t="s">
        <v>653</v>
      </c>
      <c r="B11" s="44" t="s">
        <v>653</v>
      </c>
      <c r="C11" s="44" t="s">
        <v>654</v>
      </c>
      <c r="D11" s="44" t="s">
        <v>72</v>
      </c>
      <c r="E11" s="45">
        <f t="shared" si="0"/>
        <v>12</v>
      </c>
      <c r="F11" s="142" t="s">
        <v>649</v>
      </c>
      <c r="G11" s="142" t="s">
        <v>650</v>
      </c>
      <c r="H11" s="142" t="s">
        <v>650</v>
      </c>
      <c r="I11" s="142" t="s">
        <v>651</v>
      </c>
      <c r="J11" s="142" t="s">
        <v>210</v>
      </c>
      <c r="K11" s="142" t="s">
        <v>210</v>
      </c>
      <c r="L11" s="142">
        <v>8</v>
      </c>
      <c r="M11" s="142" t="str">
        <f t="shared" ca="1" si="3"/>
        <v>Aucune case cochée</v>
      </c>
      <c r="N11" s="146" t="str">
        <f ca="1">IF(M11="Aucune case cochée",M11,IF(M11&lt;&gt;"1/5 max 50",0))</f>
        <v>Aucune case cochée</v>
      </c>
      <c r="O11" s="47" t="s">
        <v>655</v>
      </c>
      <c r="P11" s="142">
        <f ca="1">IF(M11="Non concerné",M11,IF(M11="1/5 Max 50",8,IF(M11="1/8 Max 40",4,IF(M11="1/10 Max 20",2,0))))</f>
        <v>0</v>
      </c>
      <c r="Q11" s="142">
        <f t="shared" ca="1" si="5"/>
        <v>8</v>
      </c>
      <c r="R11" s="142">
        <f t="shared" ref="R11:R57" si="7">IF(O11="Non concerné",O11,IF(F11="Binaire",1,3)*L11)</f>
        <v>8</v>
      </c>
      <c r="S11" s="218"/>
      <c r="T11" s="218"/>
      <c r="U11" s="219"/>
      <c r="V11" s="220"/>
      <c r="W11" s="218"/>
      <c r="X11" s="220"/>
      <c r="Y11" s="217"/>
      <c r="Z11" s="17"/>
    </row>
    <row r="12" spans="1:26" ht="32.1" customHeight="1" x14ac:dyDescent="0.2">
      <c r="A12" s="44" t="s">
        <v>653</v>
      </c>
      <c r="B12" s="44" t="s">
        <v>653</v>
      </c>
      <c r="C12" s="44" t="s">
        <v>654</v>
      </c>
      <c r="D12" s="44" t="s">
        <v>77</v>
      </c>
      <c r="E12" s="45">
        <f t="shared" si="0"/>
        <v>14</v>
      </c>
      <c r="F12" s="142" t="s">
        <v>656</v>
      </c>
      <c r="G12" s="142" t="s">
        <v>650</v>
      </c>
      <c r="H12" s="142" t="s">
        <v>651</v>
      </c>
      <c r="I12" s="142" t="s">
        <v>651</v>
      </c>
      <c r="J12" s="142" t="s">
        <v>210</v>
      </c>
      <c r="K12" s="142" t="s">
        <v>210</v>
      </c>
      <c r="L12" s="142">
        <v>1</v>
      </c>
      <c r="M12" s="142" t="str">
        <f t="shared" ca="1" si="3"/>
        <v>Aucune case cochée</v>
      </c>
      <c r="N12" s="142" t="str">
        <f ca="1">IF(M12="Aucune case cochée",M12,IF(M12="NC","Non concerné",IF(M12="Oui",1*L12,IF(M12="Non",0,L12*M12))))</f>
        <v>Aucune case cochée</v>
      </c>
      <c r="O12" s="47">
        <v>0</v>
      </c>
      <c r="P12" s="142">
        <f t="shared" ref="P12:P57" si="8">IF(O12="Non concerné",O12,O12*L12)</f>
        <v>0</v>
      </c>
      <c r="Q12" s="142">
        <f t="shared" ca="1" si="5"/>
        <v>3</v>
      </c>
      <c r="R12" s="142">
        <f t="shared" si="7"/>
        <v>3</v>
      </c>
      <c r="S12" s="218"/>
      <c r="T12" s="218"/>
      <c r="U12" s="219"/>
      <c r="V12" s="220"/>
      <c r="W12" s="218"/>
      <c r="X12" s="220"/>
      <c r="Y12" s="217"/>
      <c r="Z12" s="17"/>
    </row>
    <row r="13" spans="1:26" ht="32.1" customHeight="1" x14ac:dyDescent="0.2">
      <c r="A13" s="44" t="s">
        <v>653</v>
      </c>
      <c r="B13" s="44" t="s">
        <v>653</v>
      </c>
      <c r="C13" s="44" t="s">
        <v>654</v>
      </c>
      <c r="D13" s="44" t="s">
        <v>78</v>
      </c>
      <c r="E13" s="45">
        <f t="shared" si="0"/>
        <v>16</v>
      </c>
      <c r="F13" s="142" t="s">
        <v>656</v>
      </c>
      <c r="G13" s="142" t="s">
        <v>650</v>
      </c>
      <c r="H13" s="142" t="s">
        <v>650</v>
      </c>
      <c r="I13" s="142" t="s">
        <v>651</v>
      </c>
      <c r="J13" s="142" t="s">
        <v>210</v>
      </c>
      <c r="K13" s="142" t="s">
        <v>210</v>
      </c>
      <c r="L13" s="142">
        <v>1</v>
      </c>
      <c r="M13" s="142" t="str">
        <f t="shared" ca="1" si="3"/>
        <v>Aucune case cochée</v>
      </c>
      <c r="N13" s="142" t="str">
        <f t="shared" ref="N13:N57" ca="1" si="9">IF(M13="Aucune case cochée",M13,IF(M13="NC","Non concerné",IF(M13="Oui",1*L13,IF(M13="Non",0,L13*M13))))</f>
        <v>Aucune case cochée</v>
      </c>
      <c r="O13" s="47">
        <v>0</v>
      </c>
      <c r="P13" s="142">
        <f t="shared" si="8"/>
        <v>0</v>
      </c>
      <c r="Q13" s="142">
        <f t="shared" ca="1" si="5"/>
        <v>3</v>
      </c>
      <c r="R13" s="142">
        <f t="shared" si="7"/>
        <v>3</v>
      </c>
      <c r="S13" s="218"/>
      <c r="T13" s="218"/>
      <c r="U13" s="219"/>
      <c r="V13" s="220"/>
      <c r="W13" s="218"/>
      <c r="X13" s="220"/>
      <c r="Y13" s="217"/>
      <c r="Z13" s="17"/>
    </row>
    <row r="14" spans="1:26" ht="32.1" customHeight="1" x14ac:dyDescent="0.2">
      <c r="A14" s="44" t="s">
        <v>653</v>
      </c>
      <c r="B14" s="44" t="s">
        <v>653</v>
      </c>
      <c r="C14" s="44" t="s">
        <v>654</v>
      </c>
      <c r="D14" s="44" t="s">
        <v>79</v>
      </c>
      <c r="E14" s="45">
        <f t="shared" si="0"/>
        <v>18</v>
      </c>
      <c r="F14" s="142" t="s">
        <v>649</v>
      </c>
      <c r="G14" s="142" t="s">
        <v>651</v>
      </c>
      <c r="H14" s="142" t="s">
        <v>651</v>
      </c>
      <c r="I14" s="142" t="s">
        <v>210</v>
      </c>
      <c r="J14" s="142" t="s">
        <v>210</v>
      </c>
      <c r="K14" s="142" t="s">
        <v>210</v>
      </c>
      <c r="L14" s="142">
        <v>1</v>
      </c>
      <c r="M14" s="142" t="str">
        <f t="shared" ca="1" si="3"/>
        <v>Aucune case cochée</v>
      </c>
      <c r="N14" s="142" t="str">
        <f t="shared" ca="1" si="9"/>
        <v>Aucune case cochée</v>
      </c>
      <c r="O14" s="47">
        <v>1</v>
      </c>
      <c r="P14" s="142">
        <f t="shared" si="8"/>
        <v>1</v>
      </c>
      <c r="Q14" s="142">
        <f t="shared" ca="1" si="5"/>
        <v>1</v>
      </c>
      <c r="R14" s="142">
        <f t="shared" si="7"/>
        <v>1</v>
      </c>
      <c r="S14" s="218"/>
      <c r="T14" s="218"/>
      <c r="U14" s="219"/>
      <c r="V14" s="220"/>
      <c r="W14" s="218"/>
      <c r="X14" s="220"/>
      <c r="Y14" s="217"/>
      <c r="Z14" s="17"/>
    </row>
    <row r="15" spans="1:26" ht="32.1" customHeight="1" x14ac:dyDescent="0.2">
      <c r="A15" s="44" t="s">
        <v>653</v>
      </c>
      <c r="B15" s="44" t="s">
        <v>653</v>
      </c>
      <c r="C15" s="44" t="s">
        <v>654</v>
      </c>
      <c r="D15" s="44" t="s">
        <v>80</v>
      </c>
      <c r="E15" s="45">
        <f t="shared" si="0"/>
        <v>20</v>
      </c>
      <c r="F15" s="142" t="s">
        <v>649</v>
      </c>
      <c r="G15" s="142" t="s">
        <v>650</v>
      </c>
      <c r="H15" s="142" t="s">
        <v>651</v>
      </c>
      <c r="I15" s="142" t="s">
        <v>210</v>
      </c>
      <c r="J15" s="142" t="s">
        <v>210</v>
      </c>
      <c r="K15" s="142" t="s">
        <v>210</v>
      </c>
      <c r="L15" s="142">
        <v>3</v>
      </c>
      <c r="M15" s="142" t="str">
        <f t="shared" ca="1" si="3"/>
        <v>Aucune case cochée</v>
      </c>
      <c r="N15" s="142" t="str">
        <f t="shared" ca="1" si="9"/>
        <v>Aucune case cochée</v>
      </c>
      <c r="O15" s="47">
        <v>1</v>
      </c>
      <c r="P15" s="142">
        <f t="shared" si="8"/>
        <v>3</v>
      </c>
      <c r="Q15" s="142">
        <f t="shared" ca="1" si="5"/>
        <v>3</v>
      </c>
      <c r="R15" s="142">
        <f t="shared" si="7"/>
        <v>3</v>
      </c>
      <c r="S15" s="218"/>
      <c r="T15" s="218"/>
      <c r="U15" s="219"/>
      <c r="V15" s="220"/>
      <c r="W15" s="218"/>
      <c r="X15" s="220"/>
      <c r="Y15" s="217"/>
      <c r="Z15" s="17"/>
    </row>
    <row r="16" spans="1:26" ht="32.1" customHeight="1" x14ac:dyDescent="0.2">
      <c r="A16" s="44" t="s">
        <v>653</v>
      </c>
      <c r="B16" s="44" t="s">
        <v>653</v>
      </c>
      <c r="C16" s="44" t="s">
        <v>654</v>
      </c>
      <c r="D16" s="44" t="s">
        <v>81</v>
      </c>
      <c r="E16" s="45">
        <f t="shared" si="0"/>
        <v>22</v>
      </c>
      <c r="F16" s="142" t="s">
        <v>649</v>
      </c>
      <c r="G16" s="142" t="s">
        <v>651</v>
      </c>
      <c r="H16" s="142" t="s">
        <v>651</v>
      </c>
      <c r="I16" s="142" t="s">
        <v>210</v>
      </c>
      <c r="J16" s="142" t="s">
        <v>210</v>
      </c>
      <c r="K16" s="142" t="s">
        <v>210</v>
      </c>
      <c r="L16" s="142">
        <v>2</v>
      </c>
      <c r="M16" s="142" t="str">
        <f t="shared" ca="1" si="3"/>
        <v>Aucune case cochée</v>
      </c>
      <c r="N16" s="142" t="str">
        <f t="shared" ca="1" si="9"/>
        <v>Aucune case cochée</v>
      </c>
      <c r="O16" s="47">
        <v>1</v>
      </c>
      <c r="P16" s="142">
        <f t="shared" si="8"/>
        <v>2</v>
      </c>
      <c r="Q16" s="142">
        <f t="shared" ca="1" si="5"/>
        <v>2</v>
      </c>
      <c r="R16" s="142">
        <f t="shared" si="7"/>
        <v>2</v>
      </c>
      <c r="S16" s="218"/>
      <c r="T16" s="218"/>
      <c r="U16" s="219"/>
      <c r="V16" s="220"/>
      <c r="W16" s="218"/>
      <c r="X16" s="220"/>
      <c r="Y16" s="217"/>
      <c r="Z16" s="17"/>
    </row>
    <row r="17" spans="1:26" ht="32.1" customHeight="1" x14ac:dyDescent="0.2">
      <c r="A17" s="44" t="s">
        <v>653</v>
      </c>
      <c r="B17" s="44" t="s">
        <v>653</v>
      </c>
      <c r="C17" s="44" t="s">
        <v>654</v>
      </c>
      <c r="D17" s="44" t="s">
        <v>82</v>
      </c>
      <c r="E17" s="45">
        <f t="shared" si="0"/>
        <v>24</v>
      </c>
      <c r="F17" s="142" t="s">
        <v>649</v>
      </c>
      <c r="G17" s="142" t="s">
        <v>650</v>
      </c>
      <c r="H17" s="142" t="s">
        <v>650</v>
      </c>
      <c r="I17" s="142" t="s">
        <v>651</v>
      </c>
      <c r="J17" s="142" t="s">
        <v>210</v>
      </c>
      <c r="K17" s="142" t="s">
        <v>210</v>
      </c>
      <c r="L17" s="142">
        <v>2</v>
      </c>
      <c r="M17" s="142" t="str">
        <f t="shared" ca="1" si="3"/>
        <v>Aucune case cochée</v>
      </c>
      <c r="N17" s="142" t="str">
        <f t="shared" ca="1" si="9"/>
        <v>Aucune case cochée</v>
      </c>
      <c r="O17" s="47">
        <v>1</v>
      </c>
      <c r="P17" s="142">
        <f t="shared" si="8"/>
        <v>2</v>
      </c>
      <c r="Q17" s="142">
        <f t="shared" ca="1" si="5"/>
        <v>2</v>
      </c>
      <c r="R17" s="142">
        <f t="shared" si="7"/>
        <v>2</v>
      </c>
      <c r="S17" s="218"/>
      <c r="T17" s="218"/>
      <c r="U17" s="219"/>
      <c r="V17" s="220"/>
      <c r="W17" s="218"/>
      <c r="X17" s="220"/>
      <c r="Y17" s="217"/>
      <c r="Z17" s="17"/>
    </row>
    <row r="18" spans="1:26" ht="32.1" customHeight="1" x14ac:dyDescent="0.2">
      <c r="A18" s="44" t="s">
        <v>653</v>
      </c>
      <c r="B18" s="44" t="s">
        <v>653</v>
      </c>
      <c r="C18" s="44" t="s">
        <v>654</v>
      </c>
      <c r="D18" s="44" t="s">
        <v>83</v>
      </c>
      <c r="E18" s="45">
        <f t="shared" si="0"/>
        <v>26</v>
      </c>
      <c r="F18" s="142" t="s">
        <v>649</v>
      </c>
      <c r="G18" s="142" t="s">
        <v>650</v>
      </c>
      <c r="H18" s="142" t="s">
        <v>650</v>
      </c>
      <c r="I18" s="142" t="s">
        <v>651</v>
      </c>
      <c r="J18" s="142" t="s">
        <v>210</v>
      </c>
      <c r="K18" s="142" t="s">
        <v>210</v>
      </c>
      <c r="L18" s="142">
        <v>3</v>
      </c>
      <c r="M18" s="142" t="str">
        <f t="shared" ca="1" si="3"/>
        <v>Aucune case cochée</v>
      </c>
      <c r="N18" s="142" t="str">
        <f t="shared" ca="1" si="9"/>
        <v>Aucune case cochée</v>
      </c>
      <c r="O18" s="47">
        <v>1</v>
      </c>
      <c r="P18" s="142">
        <f t="shared" si="8"/>
        <v>3</v>
      </c>
      <c r="Q18" s="142">
        <f t="shared" ca="1" si="5"/>
        <v>3</v>
      </c>
      <c r="R18" s="142">
        <f t="shared" si="7"/>
        <v>3</v>
      </c>
      <c r="S18" s="218"/>
      <c r="T18" s="218"/>
      <c r="U18" s="219"/>
      <c r="V18" s="220"/>
      <c r="W18" s="218"/>
      <c r="X18" s="220"/>
      <c r="Y18" s="217"/>
      <c r="Z18" s="17"/>
    </row>
    <row r="19" spans="1:26" ht="32.1" customHeight="1" x14ac:dyDescent="0.2">
      <c r="A19" s="44" t="s">
        <v>653</v>
      </c>
      <c r="B19" s="44" t="s">
        <v>653</v>
      </c>
      <c r="C19" s="44" t="s">
        <v>654</v>
      </c>
      <c r="D19" s="44" t="s">
        <v>84</v>
      </c>
      <c r="E19" s="45">
        <f t="shared" si="0"/>
        <v>28</v>
      </c>
      <c r="F19" s="142" t="s">
        <v>649</v>
      </c>
      <c r="G19" s="142" t="s">
        <v>650</v>
      </c>
      <c r="H19" s="142" t="s">
        <v>651</v>
      </c>
      <c r="I19" s="142" t="s">
        <v>210</v>
      </c>
      <c r="J19" s="142" t="s">
        <v>210</v>
      </c>
      <c r="K19" s="142" t="s">
        <v>210</v>
      </c>
      <c r="L19" s="142">
        <v>3</v>
      </c>
      <c r="M19" s="142" t="str">
        <f t="shared" ca="1" si="3"/>
        <v>Aucune case cochée</v>
      </c>
      <c r="N19" s="142" t="str">
        <f t="shared" ca="1" si="9"/>
        <v>Aucune case cochée</v>
      </c>
      <c r="O19" s="47">
        <v>1</v>
      </c>
      <c r="P19" s="142">
        <f t="shared" si="8"/>
        <v>3</v>
      </c>
      <c r="Q19" s="142">
        <f t="shared" ca="1" si="5"/>
        <v>3</v>
      </c>
      <c r="R19" s="142">
        <f t="shared" si="7"/>
        <v>3</v>
      </c>
      <c r="S19" s="218"/>
      <c r="T19" s="218"/>
      <c r="U19" s="219"/>
      <c r="V19" s="220"/>
      <c r="W19" s="218"/>
      <c r="X19" s="220"/>
      <c r="Y19" s="217"/>
      <c r="Z19" s="17"/>
    </row>
    <row r="20" spans="1:26" ht="32.1" customHeight="1" x14ac:dyDescent="0.2">
      <c r="A20" s="44" t="s">
        <v>653</v>
      </c>
      <c r="B20" s="44" t="s">
        <v>653</v>
      </c>
      <c r="C20" s="44" t="s">
        <v>654</v>
      </c>
      <c r="D20" s="44" t="s">
        <v>85</v>
      </c>
      <c r="E20" s="45">
        <f t="shared" si="0"/>
        <v>30</v>
      </c>
      <c r="F20" s="142" t="s">
        <v>656</v>
      </c>
      <c r="G20" s="142" t="s">
        <v>650</v>
      </c>
      <c r="H20" s="142" t="s">
        <v>650</v>
      </c>
      <c r="I20" s="142" t="s">
        <v>210</v>
      </c>
      <c r="J20" s="142" t="s">
        <v>210</v>
      </c>
      <c r="K20" s="142" t="s">
        <v>210</v>
      </c>
      <c r="L20" s="142">
        <v>1</v>
      </c>
      <c r="M20" s="142" t="str">
        <f t="shared" ca="1" si="3"/>
        <v>Aucune case cochée</v>
      </c>
      <c r="N20" s="142" t="str">
        <f t="shared" ca="1" si="9"/>
        <v>Aucune case cochée</v>
      </c>
      <c r="O20" s="47">
        <v>0</v>
      </c>
      <c r="P20" s="142">
        <f t="shared" si="8"/>
        <v>0</v>
      </c>
      <c r="Q20" s="142">
        <f t="shared" ca="1" si="5"/>
        <v>3</v>
      </c>
      <c r="R20" s="142">
        <f t="shared" si="7"/>
        <v>3</v>
      </c>
      <c r="S20" s="218"/>
      <c r="T20" s="218"/>
      <c r="U20" s="219"/>
      <c r="V20" s="220"/>
      <c r="W20" s="218"/>
      <c r="X20" s="220"/>
      <c r="Y20" s="217"/>
      <c r="Z20" s="17"/>
    </row>
    <row r="21" spans="1:26" ht="32.1" customHeight="1" x14ac:dyDescent="0.2">
      <c r="A21" s="44" t="s">
        <v>653</v>
      </c>
      <c r="B21" s="44" t="s">
        <v>653</v>
      </c>
      <c r="C21" s="44" t="s">
        <v>654</v>
      </c>
      <c r="D21" s="44" t="s">
        <v>86</v>
      </c>
      <c r="E21" s="45">
        <f t="shared" si="0"/>
        <v>32</v>
      </c>
      <c r="F21" s="142" t="s">
        <v>656</v>
      </c>
      <c r="G21" s="142" t="s">
        <v>650</v>
      </c>
      <c r="H21" s="142" t="s">
        <v>650</v>
      </c>
      <c r="I21" s="142" t="s">
        <v>210</v>
      </c>
      <c r="J21" s="142" t="s">
        <v>210</v>
      </c>
      <c r="K21" s="142" t="s">
        <v>210</v>
      </c>
      <c r="L21" s="142">
        <v>1</v>
      </c>
      <c r="M21" s="142" t="str">
        <f t="shared" ca="1" si="3"/>
        <v>Aucune case cochée</v>
      </c>
      <c r="N21" s="142" t="str">
        <f t="shared" ca="1" si="9"/>
        <v>Aucune case cochée</v>
      </c>
      <c r="O21" s="47">
        <v>0</v>
      </c>
      <c r="P21" s="142">
        <f t="shared" si="8"/>
        <v>0</v>
      </c>
      <c r="Q21" s="142">
        <f t="shared" ca="1" si="5"/>
        <v>3</v>
      </c>
      <c r="R21" s="142">
        <f t="shared" si="7"/>
        <v>3</v>
      </c>
      <c r="S21" s="218"/>
      <c r="T21" s="218"/>
      <c r="U21" s="219"/>
      <c r="V21" s="220"/>
      <c r="W21" s="218"/>
      <c r="X21" s="220"/>
      <c r="Y21" s="217"/>
      <c r="Z21" s="17"/>
    </row>
    <row r="22" spans="1:26" ht="32.1" customHeight="1" x14ac:dyDescent="0.2">
      <c r="A22" s="44" t="s">
        <v>653</v>
      </c>
      <c r="B22" s="44" t="s">
        <v>653</v>
      </c>
      <c r="C22" s="44" t="s">
        <v>657</v>
      </c>
      <c r="D22" s="44" t="s">
        <v>88</v>
      </c>
      <c r="E22" s="45">
        <f t="shared" si="0"/>
        <v>35</v>
      </c>
      <c r="F22" s="142" t="s">
        <v>649</v>
      </c>
      <c r="G22" s="142" t="s">
        <v>651</v>
      </c>
      <c r="H22" s="142" t="s">
        <v>651</v>
      </c>
      <c r="I22" s="142" t="s">
        <v>210</v>
      </c>
      <c r="J22" s="142" t="s">
        <v>210</v>
      </c>
      <c r="K22" s="142" t="s">
        <v>210</v>
      </c>
      <c r="L22" s="142">
        <v>6</v>
      </c>
      <c r="M22" s="142" t="str">
        <f t="shared" ca="1" si="3"/>
        <v>Aucune case cochée</v>
      </c>
      <c r="N22" s="142" t="str">
        <f t="shared" ca="1" si="9"/>
        <v>Aucune case cochée</v>
      </c>
      <c r="O22" s="47">
        <v>1</v>
      </c>
      <c r="P22" s="142">
        <f t="shared" si="8"/>
        <v>6</v>
      </c>
      <c r="Q22" s="142">
        <f t="shared" ca="1" si="5"/>
        <v>6</v>
      </c>
      <c r="R22" s="142">
        <f t="shared" si="7"/>
        <v>6</v>
      </c>
      <c r="S22" s="218">
        <f>SUM(P22:P26)</f>
        <v>8</v>
      </c>
      <c r="T22" s="218">
        <f>SUM(R22:R26)</f>
        <v>14</v>
      </c>
      <c r="U22" s="219">
        <f>+S22/T22</f>
        <v>0.5714285714285714</v>
      </c>
      <c r="V22" s="220">
        <v>0.2</v>
      </c>
      <c r="W22" s="218"/>
      <c r="X22" s="220"/>
      <c r="Y22" s="217"/>
      <c r="Z22" s="17"/>
    </row>
    <row r="23" spans="1:26" s="2" customFormat="1" ht="32.1" customHeight="1" x14ac:dyDescent="0.3">
      <c r="A23" s="44" t="s">
        <v>653</v>
      </c>
      <c r="B23" s="44" t="s">
        <v>653</v>
      </c>
      <c r="C23" s="44" t="s">
        <v>657</v>
      </c>
      <c r="D23" s="44" t="s">
        <v>89</v>
      </c>
      <c r="E23" s="45">
        <f t="shared" si="0"/>
        <v>37</v>
      </c>
      <c r="F23" s="142" t="s">
        <v>656</v>
      </c>
      <c r="G23" s="142" t="s">
        <v>651</v>
      </c>
      <c r="H23" s="142" t="s">
        <v>651</v>
      </c>
      <c r="I23" s="142" t="s">
        <v>210</v>
      </c>
      <c r="J23" s="142" t="s">
        <v>210</v>
      </c>
      <c r="K23" s="142" t="s">
        <v>210</v>
      </c>
      <c r="L23" s="142">
        <v>1</v>
      </c>
      <c r="M23" s="142" t="str">
        <f t="shared" ca="1" si="3"/>
        <v>Aucune case cochée</v>
      </c>
      <c r="N23" s="142" t="str">
        <f t="shared" ca="1" si="9"/>
        <v>Aucune case cochée</v>
      </c>
      <c r="O23" s="47">
        <v>0</v>
      </c>
      <c r="P23" s="142">
        <f t="shared" si="8"/>
        <v>0</v>
      </c>
      <c r="Q23" s="142">
        <f t="shared" ca="1" si="5"/>
        <v>3</v>
      </c>
      <c r="R23" s="142">
        <f t="shared" si="7"/>
        <v>3</v>
      </c>
      <c r="S23" s="218"/>
      <c r="T23" s="218"/>
      <c r="U23" s="219"/>
      <c r="V23" s="220"/>
      <c r="W23" s="218"/>
      <c r="X23" s="220"/>
      <c r="Y23" s="217"/>
      <c r="Z23" s="18"/>
    </row>
    <row r="24" spans="1:26" s="2" customFormat="1" ht="32.1" customHeight="1" x14ac:dyDescent="0.3">
      <c r="A24" s="44" t="s">
        <v>653</v>
      </c>
      <c r="B24" s="44" t="s">
        <v>653</v>
      </c>
      <c r="C24" s="44" t="s">
        <v>657</v>
      </c>
      <c r="D24" s="44" t="s">
        <v>90</v>
      </c>
      <c r="E24" s="45">
        <f t="shared" si="0"/>
        <v>39</v>
      </c>
      <c r="F24" s="142" t="s">
        <v>656</v>
      </c>
      <c r="G24" s="142" t="s">
        <v>650</v>
      </c>
      <c r="H24" s="142" t="s">
        <v>651</v>
      </c>
      <c r="I24" s="142" t="s">
        <v>210</v>
      </c>
      <c r="J24" s="142" t="s">
        <v>210</v>
      </c>
      <c r="K24" s="142" t="s">
        <v>210</v>
      </c>
      <c r="L24" s="142">
        <v>1</v>
      </c>
      <c r="M24" s="142" t="str">
        <f t="shared" ca="1" si="3"/>
        <v>Aucune case cochée</v>
      </c>
      <c r="N24" s="142" t="str">
        <f t="shared" ca="1" si="9"/>
        <v>Aucune case cochée</v>
      </c>
      <c r="O24" s="47">
        <v>0</v>
      </c>
      <c r="P24" s="142">
        <f t="shared" si="8"/>
        <v>0</v>
      </c>
      <c r="Q24" s="142">
        <f t="shared" ca="1" si="5"/>
        <v>3</v>
      </c>
      <c r="R24" s="142">
        <f t="shared" si="7"/>
        <v>3</v>
      </c>
      <c r="S24" s="218"/>
      <c r="T24" s="218"/>
      <c r="U24" s="219"/>
      <c r="V24" s="220"/>
      <c r="W24" s="218"/>
      <c r="X24" s="220"/>
      <c r="Y24" s="217"/>
      <c r="Z24" s="18"/>
    </row>
    <row r="25" spans="1:26" s="2" customFormat="1" ht="32.1" customHeight="1" x14ac:dyDescent="0.3">
      <c r="A25" s="44" t="s">
        <v>653</v>
      </c>
      <c r="B25" s="44" t="s">
        <v>653</v>
      </c>
      <c r="C25" s="44" t="s">
        <v>657</v>
      </c>
      <c r="D25" s="44" t="s">
        <v>91</v>
      </c>
      <c r="E25" s="45">
        <f t="shared" si="0"/>
        <v>41</v>
      </c>
      <c r="F25" s="142" t="s">
        <v>649</v>
      </c>
      <c r="G25" s="142" t="s">
        <v>651</v>
      </c>
      <c r="H25" s="142" t="s">
        <v>651</v>
      </c>
      <c r="I25" s="142" t="s">
        <v>210</v>
      </c>
      <c r="J25" s="142" t="s">
        <v>210</v>
      </c>
      <c r="K25" s="142" t="s">
        <v>210</v>
      </c>
      <c r="L25" s="142">
        <v>1</v>
      </c>
      <c r="M25" s="142" t="str">
        <f t="shared" ca="1" si="3"/>
        <v>Aucune case cochée</v>
      </c>
      <c r="N25" s="142" t="str">
        <f t="shared" ca="1" si="9"/>
        <v>Aucune case cochée</v>
      </c>
      <c r="O25" s="47">
        <v>1</v>
      </c>
      <c r="P25" s="142">
        <f t="shared" si="8"/>
        <v>1</v>
      </c>
      <c r="Q25" s="142">
        <f t="shared" ca="1" si="5"/>
        <v>1</v>
      </c>
      <c r="R25" s="142">
        <f t="shared" si="7"/>
        <v>1</v>
      </c>
      <c r="S25" s="218"/>
      <c r="T25" s="218"/>
      <c r="U25" s="219"/>
      <c r="V25" s="220"/>
      <c r="W25" s="218"/>
      <c r="X25" s="220"/>
      <c r="Y25" s="217"/>
      <c r="Z25" s="18"/>
    </row>
    <row r="26" spans="1:26" s="2" customFormat="1" ht="32.1" customHeight="1" x14ac:dyDescent="0.3">
      <c r="A26" s="44" t="s">
        <v>653</v>
      </c>
      <c r="B26" s="44" t="s">
        <v>653</v>
      </c>
      <c r="C26" s="44" t="s">
        <v>657</v>
      </c>
      <c r="D26" s="44" t="s">
        <v>92</v>
      </c>
      <c r="E26" s="45">
        <f t="shared" si="0"/>
        <v>43</v>
      </c>
      <c r="F26" s="142" t="s">
        <v>649</v>
      </c>
      <c r="G26" s="142" t="s">
        <v>651</v>
      </c>
      <c r="H26" s="142" t="s">
        <v>651</v>
      </c>
      <c r="I26" s="142" t="s">
        <v>210</v>
      </c>
      <c r="J26" s="142" t="s">
        <v>210</v>
      </c>
      <c r="K26" s="142" t="s">
        <v>210</v>
      </c>
      <c r="L26" s="142">
        <v>1</v>
      </c>
      <c r="M26" s="142" t="str">
        <f t="shared" ca="1" si="3"/>
        <v>Aucune case cochée</v>
      </c>
      <c r="N26" s="142" t="str">
        <f t="shared" ca="1" si="9"/>
        <v>Aucune case cochée</v>
      </c>
      <c r="O26" s="47">
        <v>1</v>
      </c>
      <c r="P26" s="142">
        <f t="shared" si="8"/>
        <v>1</v>
      </c>
      <c r="Q26" s="142">
        <f t="shared" ca="1" si="5"/>
        <v>1</v>
      </c>
      <c r="R26" s="142">
        <f t="shared" si="7"/>
        <v>1</v>
      </c>
      <c r="S26" s="218"/>
      <c r="T26" s="218"/>
      <c r="U26" s="219"/>
      <c r="V26" s="220"/>
      <c r="W26" s="218"/>
      <c r="X26" s="220"/>
      <c r="Y26" s="217"/>
      <c r="Z26" s="18"/>
    </row>
    <row r="27" spans="1:26" s="2" customFormat="1" ht="32.1" customHeight="1" x14ac:dyDescent="0.3">
      <c r="A27" s="44" t="s">
        <v>653</v>
      </c>
      <c r="B27" s="44" t="s">
        <v>653</v>
      </c>
      <c r="C27" s="44" t="s">
        <v>658</v>
      </c>
      <c r="D27" s="44" t="s">
        <v>94</v>
      </c>
      <c r="E27" s="45">
        <f t="shared" si="0"/>
        <v>46</v>
      </c>
      <c r="F27" s="142" t="s">
        <v>649</v>
      </c>
      <c r="G27" s="142" t="s">
        <v>650</v>
      </c>
      <c r="H27" s="142" t="s">
        <v>650</v>
      </c>
      <c r="I27" s="142" t="s">
        <v>650</v>
      </c>
      <c r="J27" s="142" t="s">
        <v>650</v>
      </c>
      <c r="K27" s="142" t="s">
        <v>650</v>
      </c>
      <c r="L27" s="142">
        <v>1</v>
      </c>
      <c r="M27" s="142" t="str">
        <f t="shared" ca="1" si="3"/>
        <v>Aucune case cochée</v>
      </c>
      <c r="N27" s="142" t="str">
        <f t="shared" ca="1" si="9"/>
        <v>Aucune case cochée</v>
      </c>
      <c r="O27" s="47">
        <v>1</v>
      </c>
      <c r="P27" s="142">
        <f t="shared" si="8"/>
        <v>1</v>
      </c>
      <c r="Q27" s="142">
        <f t="shared" ca="1" si="5"/>
        <v>1</v>
      </c>
      <c r="R27" s="142">
        <f t="shared" si="7"/>
        <v>1</v>
      </c>
      <c r="S27" s="218">
        <f>SUM(P27:P32)</f>
        <v>3</v>
      </c>
      <c r="T27" s="218">
        <f>SUM(R27:R32)</f>
        <v>15</v>
      </c>
      <c r="U27" s="219">
        <f>+S27/T27</f>
        <v>0.2</v>
      </c>
      <c r="V27" s="220">
        <v>0.4</v>
      </c>
      <c r="W27" s="218"/>
      <c r="X27" s="220"/>
      <c r="Y27" s="217"/>
      <c r="Z27" s="18"/>
    </row>
    <row r="28" spans="1:26" s="2" customFormat="1" ht="32.1" customHeight="1" x14ac:dyDescent="0.3">
      <c r="A28" s="44" t="s">
        <v>653</v>
      </c>
      <c r="B28" s="44" t="s">
        <v>653</v>
      </c>
      <c r="C28" s="44" t="s">
        <v>658</v>
      </c>
      <c r="D28" s="44" t="s">
        <v>95</v>
      </c>
      <c r="E28" s="45">
        <f t="shared" si="0"/>
        <v>48</v>
      </c>
      <c r="F28" s="142" t="s">
        <v>656</v>
      </c>
      <c r="G28" s="142" t="s">
        <v>650</v>
      </c>
      <c r="H28" s="142" t="s">
        <v>650</v>
      </c>
      <c r="I28" s="142" t="s">
        <v>650</v>
      </c>
      <c r="J28" s="142" t="s">
        <v>650</v>
      </c>
      <c r="K28" s="142" t="s">
        <v>650</v>
      </c>
      <c r="L28" s="142">
        <v>1</v>
      </c>
      <c r="M28" s="142" t="str">
        <f t="shared" ca="1" si="3"/>
        <v>Aucune case cochée</v>
      </c>
      <c r="N28" s="142" t="str">
        <f t="shared" ca="1" si="9"/>
        <v>Aucune case cochée</v>
      </c>
      <c r="O28" s="47">
        <v>0</v>
      </c>
      <c r="P28" s="142">
        <f t="shared" si="8"/>
        <v>0</v>
      </c>
      <c r="Q28" s="142">
        <f t="shared" ca="1" si="5"/>
        <v>3</v>
      </c>
      <c r="R28" s="142">
        <f t="shared" si="7"/>
        <v>3</v>
      </c>
      <c r="S28" s="218"/>
      <c r="T28" s="218"/>
      <c r="U28" s="219"/>
      <c r="V28" s="220"/>
      <c r="W28" s="218"/>
      <c r="X28" s="220"/>
      <c r="Y28" s="217"/>
      <c r="Z28" s="18"/>
    </row>
    <row r="29" spans="1:26" s="2" customFormat="1" ht="32.1" customHeight="1" x14ac:dyDescent="0.3">
      <c r="A29" s="44" t="s">
        <v>653</v>
      </c>
      <c r="B29" s="44" t="s">
        <v>653</v>
      </c>
      <c r="C29" s="44" t="s">
        <v>658</v>
      </c>
      <c r="D29" s="44" t="s">
        <v>96</v>
      </c>
      <c r="E29" s="45">
        <f t="shared" si="0"/>
        <v>50</v>
      </c>
      <c r="F29" s="142" t="s">
        <v>656</v>
      </c>
      <c r="G29" s="142" t="s">
        <v>650</v>
      </c>
      <c r="H29" s="142" t="s">
        <v>650</v>
      </c>
      <c r="I29" s="142" t="s">
        <v>650</v>
      </c>
      <c r="J29" s="142" t="s">
        <v>650</v>
      </c>
      <c r="K29" s="142" t="s">
        <v>650</v>
      </c>
      <c r="L29" s="142">
        <v>1</v>
      </c>
      <c r="M29" s="142" t="str">
        <f t="shared" ca="1" si="3"/>
        <v>Aucune case cochée</v>
      </c>
      <c r="N29" s="142" t="str">
        <f t="shared" ca="1" si="9"/>
        <v>Aucune case cochée</v>
      </c>
      <c r="O29" s="47">
        <v>0</v>
      </c>
      <c r="P29" s="142">
        <f t="shared" si="8"/>
        <v>0</v>
      </c>
      <c r="Q29" s="142">
        <f t="shared" ca="1" si="5"/>
        <v>3</v>
      </c>
      <c r="R29" s="142">
        <f t="shared" si="7"/>
        <v>3</v>
      </c>
      <c r="S29" s="218"/>
      <c r="T29" s="218"/>
      <c r="U29" s="219"/>
      <c r="V29" s="220"/>
      <c r="W29" s="218"/>
      <c r="X29" s="220"/>
      <c r="Y29" s="217"/>
      <c r="Z29" s="18"/>
    </row>
    <row r="30" spans="1:26" s="2" customFormat="1" ht="32.1" customHeight="1" x14ac:dyDescent="0.3">
      <c r="A30" s="44" t="s">
        <v>653</v>
      </c>
      <c r="B30" s="44" t="s">
        <v>653</v>
      </c>
      <c r="C30" s="44" t="s">
        <v>658</v>
      </c>
      <c r="D30" s="44" t="s">
        <v>97</v>
      </c>
      <c r="E30" s="45">
        <f t="shared" si="0"/>
        <v>52</v>
      </c>
      <c r="F30" s="142" t="s">
        <v>649</v>
      </c>
      <c r="G30" s="142" t="s">
        <v>650</v>
      </c>
      <c r="H30" s="142" t="s">
        <v>650</v>
      </c>
      <c r="I30" s="142" t="s">
        <v>650</v>
      </c>
      <c r="J30" s="142" t="s">
        <v>650</v>
      </c>
      <c r="K30" s="142" t="s">
        <v>650</v>
      </c>
      <c r="L30" s="142">
        <v>2</v>
      </c>
      <c r="M30" s="142" t="str">
        <f t="shared" ca="1" si="3"/>
        <v>Aucune case cochée</v>
      </c>
      <c r="N30" s="142" t="str">
        <f t="shared" ca="1" si="9"/>
        <v>Aucune case cochée</v>
      </c>
      <c r="O30" s="47">
        <v>1</v>
      </c>
      <c r="P30" s="142">
        <f t="shared" si="8"/>
        <v>2</v>
      </c>
      <c r="Q30" s="142">
        <f t="shared" ca="1" si="5"/>
        <v>2</v>
      </c>
      <c r="R30" s="142">
        <f t="shared" si="7"/>
        <v>2</v>
      </c>
      <c r="S30" s="218"/>
      <c r="T30" s="218"/>
      <c r="U30" s="219"/>
      <c r="V30" s="220"/>
      <c r="W30" s="218"/>
      <c r="X30" s="220"/>
      <c r="Y30" s="217"/>
      <c r="Z30" s="18"/>
    </row>
    <row r="31" spans="1:26" s="2" customFormat="1" ht="32.1" customHeight="1" x14ac:dyDescent="0.3">
      <c r="A31" s="44" t="s">
        <v>653</v>
      </c>
      <c r="B31" s="44" t="s">
        <v>653</v>
      </c>
      <c r="C31" s="44" t="s">
        <v>658</v>
      </c>
      <c r="D31" s="44" t="s">
        <v>98</v>
      </c>
      <c r="E31" s="45">
        <f t="shared" si="0"/>
        <v>54</v>
      </c>
      <c r="F31" s="142" t="s">
        <v>656</v>
      </c>
      <c r="G31" s="142" t="s">
        <v>650</v>
      </c>
      <c r="H31" s="142" t="s">
        <v>650</v>
      </c>
      <c r="I31" s="142" t="s">
        <v>650</v>
      </c>
      <c r="J31" s="142" t="s">
        <v>650</v>
      </c>
      <c r="K31" s="142" t="s">
        <v>650</v>
      </c>
      <c r="L31" s="142">
        <v>1</v>
      </c>
      <c r="M31" s="142" t="str">
        <f t="shared" ca="1" si="3"/>
        <v>Aucune case cochée</v>
      </c>
      <c r="N31" s="142" t="str">
        <f t="shared" ca="1" si="9"/>
        <v>Aucune case cochée</v>
      </c>
      <c r="O31" s="47">
        <v>0</v>
      </c>
      <c r="P31" s="142">
        <f t="shared" si="8"/>
        <v>0</v>
      </c>
      <c r="Q31" s="142">
        <f t="shared" ca="1" si="5"/>
        <v>3</v>
      </c>
      <c r="R31" s="142">
        <f t="shared" si="7"/>
        <v>3</v>
      </c>
      <c r="S31" s="218"/>
      <c r="T31" s="218"/>
      <c r="U31" s="219"/>
      <c r="V31" s="220"/>
      <c r="W31" s="218"/>
      <c r="X31" s="220"/>
      <c r="Y31" s="217"/>
      <c r="Z31" s="18"/>
    </row>
    <row r="32" spans="1:26" s="2" customFormat="1" ht="32.1" customHeight="1" x14ac:dyDescent="0.3">
      <c r="A32" s="44" t="s">
        <v>653</v>
      </c>
      <c r="B32" s="44" t="s">
        <v>653</v>
      </c>
      <c r="C32" s="44" t="s">
        <v>658</v>
      </c>
      <c r="D32" s="44" t="s">
        <v>99</v>
      </c>
      <c r="E32" s="45">
        <f t="shared" si="0"/>
        <v>56</v>
      </c>
      <c r="F32" s="142" t="s">
        <v>656</v>
      </c>
      <c r="G32" s="142" t="s">
        <v>650</v>
      </c>
      <c r="H32" s="142" t="s">
        <v>650</v>
      </c>
      <c r="I32" s="142" t="s">
        <v>650</v>
      </c>
      <c r="J32" s="142" t="s">
        <v>650</v>
      </c>
      <c r="K32" s="142" t="s">
        <v>650</v>
      </c>
      <c r="L32" s="142">
        <v>1</v>
      </c>
      <c r="M32" s="142" t="str">
        <f t="shared" ca="1" si="3"/>
        <v>Aucune case cochée</v>
      </c>
      <c r="N32" s="142" t="str">
        <f t="shared" ca="1" si="9"/>
        <v>Aucune case cochée</v>
      </c>
      <c r="O32" s="47">
        <v>0</v>
      </c>
      <c r="P32" s="142">
        <f t="shared" si="8"/>
        <v>0</v>
      </c>
      <c r="Q32" s="142">
        <f t="shared" ca="1" si="5"/>
        <v>3</v>
      </c>
      <c r="R32" s="142">
        <f t="shared" si="7"/>
        <v>3</v>
      </c>
      <c r="S32" s="218"/>
      <c r="T32" s="218"/>
      <c r="U32" s="219"/>
      <c r="V32" s="220"/>
      <c r="W32" s="218"/>
      <c r="X32" s="220"/>
      <c r="Y32" s="217"/>
      <c r="Z32" s="18"/>
    </row>
    <row r="33" spans="1:26" ht="32.1" customHeight="1" x14ac:dyDescent="0.2">
      <c r="A33" s="44" t="s">
        <v>659</v>
      </c>
      <c r="B33" s="44" t="s">
        <v>660</v>
      </c>
      <c r="C33" s="44" t="s">
        <v>661</v>
      </c>
      <c r="D33" s="44" t="s">
        <v>102</v>
      </c>
      <c r="E33" s="45">
        <f t="shared" si="0"/>
        <v>10</v>
      </c>
      <c r="F33" s="142" t="s">
        <v>649</v>
      </c>
      <c r="G33" s="142" t="s">
        <v>650</v>
      </c>
      <c r="H33" s="142" t="s">
        <v>650</v>
      </c>
      <c r="I33" s="142" t="s">
        <v>651</v>
      </c>
      <c r="J33" s="142" t="s">
        <v>651</v>
      </c>
      <c r="K33" s="142" t="s">
        <v>210</v>
      </c>
      <c r="L33" s="142">
        <v>4</v>
      </c>
      <c r="M33" s="142" t="str">
        <f t="shared" ca="1" si="3"/>
        <v>Aucune case cochée</v>
      </c>
      <c r="N33" s="142" t="str">
        <f t="shared" ca="1" si="9"/>
        <v>Aucune case cochée</v>
      </c>
      <c r="O33" s="47">
        <v>1</v>
      </c>
      <c r="P33" s="142">
        <f t="shared" si="8"/>
        <v>4</v>
      </c>
      <c r="Q33" s="142">
        <f t="shared" ca="1" si="5"/>
        <v>4</v>
      </c>
      <c r="R33" s="142">
        <f t="shared" si="7"/>
        <v>4</v>
      </c>
      <c r="S33" s="218">
        <f>SUM(P33:P42)</f>
        <v>37</v>
      </c>
      <c r="T33" s="218">
        <f>SUM(R33:R42)</f>
        <v>40</v>
      </c>
      <c r="U33" s="219">
        <f>+S33/T33</f>
        <v>0.92500000000000004</v>
      </c>
      <c r="V33" s="220">
        <v>0.1</v>
      </c>
      <c r="W33" s="222">
        <f ca="1">U33*V33+U43*V43+U55*V55+U72*V72+U83*V83</f>
        <v>0.76662587412587424</v>
      </c>
      <c r="X33" s="220">
        <v>0.08</v>
      </c>
      <c r="Y33" s="217"/>
      <c r="Z33" s="17"/>
    </row>
    <row r="34" spans="1:26" ht="32.1" customHeight="1" x14ac:dyDescent="0.2">
      <c r="A34" s="44" t="s">
        <v>659</v>
      </c>
      <c r="B34" s="44" t="s">
        <v>660</v>
      </c>
      <c r="C34" s="44" t="s">
        <v>661</v>
      </c>
      <c r="D34" s="44" t="s">
        <v>103</v>
      </c>
      <c r="E34" s="45">
        <f t="shared" si="0"/>
        <v>12</v>
      </c>
      <c r="F34" s="142" t="s">
        <v>649</v>
      </c>
      <c r="G34" s="142" t="s">
        <v>650</v>
      </c>
      <c r="H34" s="142" t="s">
        <v>650</v>
      </c>
      <c r="I34" s="142" t="s">
        <v>650</v>
      </c>
      <c r="J34" s="142" t="s">
        <v>210</v>
      </c>
      <c r="K34" s="142" t="s">
        <v>210</v>
      </c>
      <c r="L34" s="142">
        <v>4</v>
      </c>
      <c r="M34" s="142" t="str">
        <f t="shared" ca="1" si="3"/>
        <v>Aucune case cochée</v>
      </c>
      <c r="N34" s="142" t="str">
        <f t="shared" ca="1" si="9"/>
        <v>Aucune case cochée</v>
      </c>
      <c r="O34" s="47">
        <v>1</v>
      </c>
      <c r="P34" s="142">
        <f t="shared" si="8"/>
        <v>4</v>
      </c>
      <c r="Q34" s="142">
        <f t="shared" ca="1" si="5"/>
        <v>4</v>
      </c>
      <c r="R34" s="142">
        <f t="shared" si="7"/>
        <v>4</v>
      </c>
      <c r="S34" s="218"/>
      <c r="T34" s="218"/>
      <c r="U34" s="219"/>
      <c r="V34" s="220"/>
      <c r="W34" s="218"/>
      <c r="X34" s="220"/>
      <c r="Y34" s="217"/>
      <c r="Z34" s="17"/>
    </row>
    <row r="35" spans="1:26" ht="32.1" customHeight="1" x14ac:dyDescent="0.2">
      <c r="A35" s="44" t="s">
        <v>659</v>
      </c>
      <c r="B35" s="44" t="s">
        <v>660</v>
      </c>
      <c r="C35" s="44" t="s">
        <v>661</v>
      </c>
      <c r="D35" s="44" t="s">
        <v>104</v>
      </c>
      <c r="E35" s="45">
        <f t="shared" si="0"/>
        <v>14</v>
      </c>
      <c r="F35" s="142" t="s">
        <v>649</v>
      </c>
      <c r="G35" s="142" t="s">
        <v>650</v>
      </c>
      <c r="H35" s="142" t="s">
        <v>650</v>
      </c>
      <c r="I35" s="142" t="s">
        <v>651</v>
      </c>
      <c r="J35" s="142" t="s">
        <v>210</v>
      </c>
      <c r="K35" s="142" t="s">
        <v>210</v>
      </c>
      <c r="L35" s="142">
        <v>4</v>
      </c>
      <c r="M35" s="142" t="str">
        <f t="shared" ca="1" si="3"/>
        <v>Aucune case cochée</v>
      </c>
      <c r="N35" s="142" t="str">
        <f t="shared" ca="1" si="9"/>
        <v>Aucune case cochée</v>
      </c>
      <c r="O35" s="47">
        <v>1</v>
      </c>
      <c r="P35" s="142">
        <f t="shared" si="8"/>
        <v>4</v>
      </c>
      <c r="Q35" s="142">
        <f t="shared" ca="1" si="5"/>
        <v>4</v>
      </c>
      <c r="R35" s="142">
        <f t="shared" si="7"/>
        <v>4</v>
      </c>
      <c r="S35" s="218"/>
      <c r="T35" s="218"/>
      <c r="U35" s="219"/>
      <c r="V35" s="220"/>
      <c r="W35" s="218"/>
      <c r="X35" s="220"/>
      <c r="Y35" s="217"/>
      <c r="Z35" s="17"/>
    </row>
    <row r="36" spans="1:26" ht="32.1" customHeight="1" x14ac:dyDescent="0.2">
      <c r="A36" s="44" t="s">
        <v>659</v>
      </c>
      <c r="B36" s="44" t="s">
        <v>660</v>
      </c>
      <c r="C36" s="44" t="s">
        <v>661</v>
      </c>
      <c r="D36" s="44" t="s">
        <v>105</v>
      </c>
      <c r="E36" s="45">
        <f t="shared" si="0"/>
        <v>16</v>
      </c>
      <c r="F36" s="142" t="s">
        <v>649</v>
      </c>
      <c r="G36" s="142" t="s">
        <v>650</v>
      </c>
      <c r="H36" s="142" t="s">
        <v>651</v>
      </c>
      <c r="I36" s="142" t="s">
        <v>651</v>
      </c>
      <c r="J36" s="142" t="s">
        <v>210</v>
      </c>
      <c r="K36" s="142" t="s">
        <v>210</v>
      </c>
      <c r="L36" s="142">
        <v>4</v>
      </c>
      <c r="M36" s="142" t="str">
        <f t="shared" ca="1" si="3"/>
        <v>Aucune case cochée</v>
      </c>
      <c r="N36" s="142" t="str">
        <f t="shared" ca="1" si="9"/>
        <v>Aucune case cochée</v>
      </c>
      <c r="O36" s="47">
        <v>1</v>
      </c>
      <c r="P36" s="142">
        <f t="shared" si="8"/>
        <v>4</v>
      </c>
      <c r="Q36" s="142">
        <f t="shared" ca="1" si="5"/>
        <v>4</v>
      </c>
      <c r="R36" s="142">
        <f t="shared" si="7"/>
        <v>4</v>
      </c>
      <c r="S36" s="218"/>
      <c r="T36" s="218"/>
      <c r="U36" s="219"/>
      <c r="V36" s="220"/>
      <c r="W36" s="218"/>
      <c r="X36" s="220"/>
      <c r="Y36" s="217"/>
      <c r="Z36" s="17"/>
    </row>
    <row r="37" spans="1:26" ht="32.1" customHeight="1" x14ac:dyDescent="0.2">
      <c r="A37" s="44" t="s">
        <v>659</v>
      </c>
      <c r="B37" s="44" t="s">
        <v>660</v>
      </c>
      <c r="C37" s="44" t="s">
        <v>661</v>
      </c>
      <c r="D37" s="44" t="s">
        <v>106</v>
      </c>
      <c r="E37" s="45">
        <f t="shared" si="0"/>
        <v>18</v>
      </c>
      <c r="F37" s="142" t="s">
        <v>649</v>
      </c>
      <c r="G37" s="142" t="s">
        <v>650</v>
      </c>
      <c r="H37" s="142" t="s">
        <v>650</v>
      </c>
      <c r="I37" s="142" t="s">
        <v>650</v>
      </c>
      <c r="J37" s="142" t="s">
        <v>650</v>
      </c>
      <c r="K37" s="142" t="s">
        <v>650</v>
      </c>
      <c r="L37" s="142">
        <v>2</v>
      </c>
      <c r="M37" s="142" t="str">
        <f t="shared" ca="1" si="3"/>
        <v>Aucune case cochée</v>
      </c>
      <c r="N37" s="142" t="str">
        <f t="shared" ca="1" si="9"/>
        <v>Aucune case cochée</v>
      </c>
      <c r="O37" s="47">
        <v>1</v>
      </c>
      <c r="P37" s="142">
        <f t="shared" si="8"/>
        <v>2</v>
      </c>
      <c r="Q37" s="142">
        <f t="shared" ca="1" si="5"/>
        <v>2</v>
      </c>
      <c r="R37" s="142">
        <f t="shared" si="7"/>
        <v>2</v>
      </c>
      <c r="S37" s="218"/>
      <c r="T37" s="218"/>
      <c r="U37" s="219"/>
      <c r="V37" s="220"/>
      <c r="W37" s="218"/>
      <c r="X37" s="220"/>
      <c r="Y37" s="217"/>
      <c r="Z37" s="17"/>
    </row>
    <row r="38" spans="1:26" ht="32.1" customHeight="1" x14ac:dyDescent="0.2">
      <c r="A38" s="44" t="s">
        <v>659</v>
      </c>
      <c r="B38" s="44" t="s">
        <v>660</v>
      </c>
      <c r="C38" s="44" t="s">
        <v>661</v>
      </c>
      <c r="D38" s="44" t="s">
        <v>107</v>
      </c>
      <c r="E38" s="45">
        <f t="shared" si="0"/>
        <v>20</v>
      </c>
      <c r="F38" s="142" t="s">
        <v>649</v>
      </c>
      <c r="G38" s="142" t="s">
        <v>650</v>
      </c>
      <c r="H38" s="142" t="s">
        <v>650</v>
      </c>
      <c r="I38" s="142" t="s">
        <v>651</v>
      </c>
      <c r="J38" s="142" t="s">
        <v>210</v>
      </c>
      <c r="K38" s="142" t="s">
        <v>210</v>
      </c>
      <c r="L38" s="142">
        <v>4</v>
      </c>
      <c r="M38" s="142" t="str">
        <f t="shared" ca="1" si="3"/>
        <v>Aucune case cochée</v>
      </c>
      <c r="N38" s="142" t="str">
        <f t="shared" ca="1" si="9"/>
        <v>Aucune case cochée</v>
      </c>
      <c r="O38" s="47">
        <v>1</v>
      </c>
      <c r="P38" s="142">
        <f t="shared" si="8"/>
        <v>4</v>
      </c>
      <c r="Q38" s="142">
        <f t="shared" ca="1" si="5"/>
        <v>4</v>
      </c>
      <c r="R38" s="142">
        <f t="shared" si="7"/>
        <v>4</v>
      </c>
      <c r="S38" s="218"/>
      <c r="T38" s="218"/>
      <c r="U38" s="219"/>
      <c r="V38" s="220"/>
      <c r="W38" s="218"/>
      <c r="X38" s="220"/>
      <c r="Y38" s="217"/>
      <c r="Z38" s="17"/>
    </row>
    <row r="39" spans="1:26" ht="32.1" customHeight="1" x14ac:dyDescent="0.2">
      <c r="A39" s="44" t="s">
        <v>659</v>
      </c>
      <c r="B39" s="44" t="s">
        <v>660</v>
      </c>
      <c r="C39" s="44" t="s">
        <v>661</v>
      </c>
      <c r="D39" s="44" t="s">
        <v>108</v>
      </c>
      <c r="E39" s="45">
        <f t="shared" si="0"/>
        <v>22</v>
      </c>
      <c r="F39" s="142" t="s">
        <v>649</v>
      </c>
      <c r="G39" s="142" t="s">
        <v>650</v>
      </c>
      <c r="H39" s="142" t="s">
        <v>650</v>
      </c>
      <c r="I39" s="142" t="s">
        <v>651</v>
      </c>
      <c r="J39" s="142" t="s">
        <v>210</v>
      </c>
      <c r="K39" s="142" t="s">
        <v>210</v>
      </c>
      <c r="L39" s="142">
        <v>2</v>
      </c>
      <c r="M39" s="142" t="str">
        <f t="shared" ca="1" si="3"/>
        <v>Aucune case cochée</v>
      </c>
      <c r="N39" s="142" t="str">
        <f t="shared" ca="1" si="9"/>
        <v>Aucune case cochée</v>
      </c>
      <c r="O39" s="47">
        <v>1</v>
      </c>
      <c r="P39" s="142">
        <f t="shared" si="8"/>
        <v>2</v>
      </c>
      <c r="Q39" s="142">
        <f t="shared" ca="1" si="5"/>
        <v>2</v>
      </c>
      <c r="R39" s="142">
        <f t="shared" si="7"/>
        <v>2</v>
      </c>
      <c r="S39" s="218"/>
      <c r="T39" s="218"/>
      <c r="U39" s="219"/>
      <c r="V39" s="220"/>
      <c r="W39" s="218"/>
      <c r="X39" s="220"/>
      <c r="Y39" s="217"/>
      <c r="Z39" s="17"/>
    </row>
    <row r="40" spans="1:26" ht="32.1" customHeight="1" x14ac:dyDescent="0.2">
      <c r="A40" s="44" t="s">
        <v>659</v>
      </c>
      <c r="B40" s="44" t="s">
        <v>660</v>
      </c>
      <c r="C40" s="44" t="s">
        <v>661</v>
      </c>
      <c r="D40" s="44" t="s">
        <v>109</v>
      </c>
      <c r="E40" s="45">
        <f t="shared" si="0"/>
        <v>24</v>
      </c>
      <c r="F40" s="142" t="s">
        <v>649</v>
      </c>
      <c r="G40" s="142" t="s">
        <v>650</v>
      </c>
      <c r="H40" s="142" t="s">
        <v>651</v>
      </c>
      <c r="I40" s="142" t="s">
        <v>210</v>
      </c>
      <c r="J40" s="142" t="s">
        <v>210</v>
      </c>
      <c r="K40" s="142" t="s">
        <v>210</v>
      </c>
      <c r="L40" s="142">
        <v>4</v>
      </c>
      <c r="M40" s="142" t="str">
        <f t="shared" ca="1" si="3"/>
        <v>Aucune case cochée</v>
      </c>
      <c r="N40" s="142" t="str">
        <f t="shared" ca="1" si="9"/>
        <v>Aucune case cochée</v>
      </c>
      <c r="O40" s="47">
        <v>1</v>
      </c>
      <c r="P40" s="142">
        <f t="shared" si="8"/>
        <v>4</v>
      </c>
      <c r="Q40" s="142">
        <f t="shared" ca="1" si="5"/>
        <v>4</v>
      </c>
      <c r="R40" s="142">
        <f t="shared" si="7"/>
        <v>4</v>
      </c>
      <c r="S40" s="218"/>
      <c r="T40" s="218"/>
      <c r="U40" s="219"/>
      <c r="V40" s="220"/>
      <c r="W40" s="218"/>
      <c r="X40" s="220"/>
      <c r="Y40" s="217"/>
      <c r="Z40" s="17"/>
    </row>
    <row r="41" spans="1:26" ht="32.1" customHeight="1" x14ac:dyDescent="0.2">
      <c r="A41" s="44" t="s">
        <v>659</v>
      </c>
      <c r="B41" s="44" t="s">
        <v>660</v>
      </c>
      <c r="C41" s="44" t="s">
        <v>661</v>
      </c>
      <c r="D41" s="44" t="s">
        <v>110</v>
      </c>
      <c r="E41" s="45">
        <f t="shared" si="0"/>
        <v>26</v>
      </c>
      <c r="F41" s="142" t="s">
        <v>656</v>
      </c>
      <c r="G41" s="142" t="s">
        <v>650</v>
      </c>
      <c r="H41" s="142" t="s">
        <v>651</v>
      </c>
      <c r="I41" s="142" t="s">
        <v>210</v>
      </c>
      <c r="J41" s="142" t="s">
        <v>210</v>
      </c>
      <c r="K41" s="142" t="s">
        <v>210</v>
      </c>
      <c r="L41" s="142">
        <v>3</v>
      </c>
      <c r="M41" s="142" t="str">
        <f t="shared" ca="1" si="3"/>
        <v>Aucune case cochée</v>
      </c>
      <c r="N41" s="142" t="str">
        <f t="shared" ca="1" si="9"/>
        <v>Aucune case cochée</v>
      </c>
      <c r="O41" s="47">
        <v>3</v>
      </c>
      <c r="P41" s="142">
        <f t="shared" si="8"/>
        <v>9</v>
      </c>
      <c r="Q41" s="142">
        <f t="shared" ca="1" si="5"/>
        <v>9</v>
      </c>
      <c r="R41" s="142">
        <f t="shared" si="7"/>
        <v>9</v>
      </c>
      <c r="S41" s="218"/>
      <c r="T41" s="218"/>
      <c r="U41" s="219"/>
      <c r="V41" s="220"/>
      <c r="W41" s="218"/>
      <c r="X41" s="220"/>
      <c r="Y41" s="217"/>
      <c r="Z41" s="17"/>
    </row>
    <row r="42" spans="1:26" ht="32.1" customHeight="1" x14ac:dyDescent="0.2">
      <c r="A42" s="44" t="s">
        <v>659</v>
      </c>
      <c r="B42" s="44" t="s">
        <v>660</v>
      </c>
      <c r="C42" s="44" t="s">
        <v>661</v>
      </c>
      <c r="D42" s="44" t="s">
        <v>111</v>
      </c>
      <c r="E42" s="45">
        <f t="shared" si="0"/>
        <v>28</v>
      </c>
      <c r="F42" s="142" t="s">
        <v>656</v>
      </c>
      <c r="G42" s="142" t="s">
        <v>650</v>
      </c>
      <c r="H42" s="142" t="s">
        <v>651</v>
      </c>
      <c r="I42" s="142" t="s">
        <v>210</v>
      </c>
      <c r="J42" s="142" t="s">
        <v>210</v>
      </c>
      <c r="K42" s="142" t="s">
        <v>210</v>
      </c>
      <c r="L42" s="142">
        <v>1</v>
      </c>
      <c r="M42" s="142" t="str">
        <f t="shared" ca="1" si="3"/>
        <v>Aucune case cochée</v>
      </c>
      <c r="N42" s="142" t="str">
        <f t="shared" ca="1" si="9"/>
        <v>Aucune case cochée</v>
      </c>
      <c r="O42" s="47">
        <v>0</v>
      </c>
      <c r="P42" s="142">
        <f t="shared" si="8"/>
        <v>0</v>
      </c>
      <c r="Q42" s="142">
        <f t="shared" ca="1" si="5"/>
        <v>3</v>
      </c>
      <c r="R42" s="142">
        <f t="shared" si="7"/>
        <v>3</v>
      </c>
      <c r="S42" s="218"/>
      <c r="T42" s="218"/>
      <c r="U42" s="219"/>
      <c r="V42" s="220"/>
      <c r="W42" s="218"/>
      <c r="X42" s="220"/>
      <c r="Y42" s="217"/>
      <c r="Z42" s="17"/>
    </row>
    <row r="43" spans="1:26" ht="32.1" customHeight="1" x14ac:dyDescent="0.2">
      <c r="A43" s="44" t="s">
        <v>659</v>
      </c>
      <c r="B43" s="44" t="s">
        <v>660</v>
      </c>
      <c r="C43" s="44" t="s">
        <v>662</v>
      </c>
      <c r="D43" s="44" t="s">
        <v>113</v>
      </c>
      <c r="E43" s="45">
        <f t="shared" si="0"/>
        <v>31</v>
      </c>
      <c r="F43" s="142" t="s">
        <v>649</v>
      </c>
      <c r="G43" s="142" t="s">
        <v>650</v>
      </c>
      <c r="H43" s="142" t="s">
        <v>650</v>
      </c>
      <c r="I43" s="142" t="s">
        <v>650</v>
      </c>
      <c r="J43" s="142" t="s">
        <v>650</v>
      </c>
      <c r="K43" s="142" t="s">
        <v>650</v>
      </c>
      <c r="L43" s="142">
        <v>6</v>
      </c>
      <c r="M43" s="142" t="str">
        <f t="shared" ca="1" si="3"/>
        <v>Aucune case cochée</v>
      </c>
      <c r="N43" s="142" t="str">
        <f t="shared" ca="1" si="9"/>
        <v>Aucune case cochée</v>
      </c>
      <c r="O43" s="47">
        <v>1</v>
      </c>
      <c r="P43" s="142">
        <f t="shared" si="8"/>
        <v>6</v>
      </c>
      <c r="Q43" s="142">
        <f t="shared" ca="1" si="5"/>
        <v>6</v>
      </c>
      <c r="R43" s="142">
        <f t="shared" si="7"/>
        <v>6</v>
      </c>
      <c r="S43" s="218">
        <f>SUM(P43:P54)</f>
        <v>27</v>
      </c>
      <c r="T43" s="218">
        <f>SUM(R43:R54)</f>
        <v>39</v>
      </c>
      <c r="U43" s="219">
        <f>+S43/T43</f>
        <v>0.69230769230769229</v>
      </c>
      <c r="V43" s="220">
        <v>0.4</v>
      </c>
      <c r="W43" s="218"/>
      <c r="X43" s="220"/>
      <c r="Y43" s="217"/>
      <c r="Z43" s="17"/>
    </row>
    <row r="44" spans="1:26" ht="32.1" customHeight="1" x14ac:dyDescent="0.2">
      <c r="A44" s="44" t="s">
        <v>659</v>
      </c>
      <c r="B44" s="44" t="s">
        <v>660</v>
      </c>
      <c r="C44" s="44" t="s">
        <v>662</v>
      </c>
      <c r="D44" s="44" t="s">
        <v>114</v>
      </c>
      <c r="E44" s="45">
        <f t="shared" si="0"/>
        <v>33</v>
      </c>
      <c r="F44" s="142" t="s">
        <v>656</v>
      </c>
      <c r="G44" s="142" t="s">
        <v>650</v>
      </c>
      <c r="H44" s="142" t="s">
        <v>650</v>
      </c>
      <c r="I44" s="142" t="s">
        <v>650</v>
      </c>
      <c r="J44" s="142" t="s">
        <v>650</v>
      </c>
      <c r="K44" s="142" t="s">
        <v>650</v>
      </c>
      <c r="L44" s="142">
        <v>1</v>
      </c>
      <c r="M44" s="142" t="str">
        <f t="shared" ca="1" si="3"/>
        <v>Aucune case cochée</v>
      </c>
      <c r="N44" s="142" t="str">
        <f t="shared" ca="1" si="9"/>
        <v>Aucune case cochée</v>
      </c>
      <c r="O44" s="47">
        <v>0</v>
      </c>
      <c r="P44" s="142">
        <f t="shared" si="8"/>
        <v>0</v>
      </c>
      <c r="Q44" s="142">
        <f t="shared" ca="1" si="5"/>
        <v>3</v>
      </c>
      <c r="R44" s="142">
        <f t="shared" si="7"/>
        <v>3</v>
      </c>
      <c r="S44" s="218"/>
      <c r="T44" s="218"/>
      <c r="U44" s="219"/>
      <c r="V44" s="220"/>
      <c r="W44" s="218"/>
      <c r="X44" s="220"/>
      <c r="Y44" s="217"/>
      <c r="Z44" s="17"/>
    </row>
    <row r="45" spans="1:26" ht="32.1" customHeight="1" x14ac:dyDescent="0.2">
      <c r="A45" s="44" t="s">
        <v>659</v>
      </c>
      <c r="B45" s="44" t="s">
        <v>660</v>
      </c>
      <c r="C45" s="44" t="s">
        <v>662</v>
      </c>
      <c r="D45" s="44" t="s">
        <v>115</v>
      </c>
      <c r="E45" s="45">
        <f t="shared" si="0"/>
        <v>35</v>
      </c>
      <c r="F45" s="142" t="s">
        <v>656</v>
      </c>
      <c r="G45" s="142" t="s">
        <v>650</v>
      </c>
      <c r="H45" s="142" t="s">
        <v>650</v>
      </c>
      <c r="I45" s="142" t="s">
        <v>650</v>
      </c>
      <c r="J45" s="142" t="s">
        <v>650</v>
      </c>
      <c r="K45" s="142" t="s">
        <v>650</v>
      </c>
      <c r="L45" s="142">
        <v>1</v>
      </c>
      <c r="M45" s="142" t="str">
        <f t="shared" ca="1" si="3"/>
        <v>Aucune case cochée</v>
      </c>
      <c r="N45" s="142" t="str">
        <f t="shared" ca="1" si="9"/>
        <v>Aucune case cochée</v>
      </c>
      <c r="O45" s="47">
        <v>0</v>
      </c>
      <c r="P45" s="142">
        <f t="shared" si="8"/>
        <v>0</v>
      </c>
      <c r="Q45" s="142">
        <f t="shared" ca="1" si="5"/>
        <v>3</v>
      </c>
      <c r="R45" s="142">
        <f t="shared" si="7"/>
        <v>3</v>
      </c>
      <c r="S45" s="218"/>
      <c r="T45" s="218"/>
      <c r="U45" s="219"/>
      <c r="V45" s="220"/>
      <c r="W45" s="218"/>
      <c r="X45" s="220"/>
      <c r="Y45" s="217"/>
      <c r="Z45" s="17"/>
    </row>
    <row r="46" spans="1:26" ht="32.1" customHeight="1" x14ac:dyDescent="0.2">
      <c r="A46" s="44" t="s">
        <v>659</v>
      </c>
      <c r="B46" s="44" t="s">
        <v>660</v>
      </c>
      <c r="C46" s="44" t="s">
        <v>662</v>
      </c>
      <c r="D46" s="44" t="s">
        <v>116</v>
      </c>
      <c r="E46" s="45">
        <f t="shared" si="0"/>
        <v>37</v>
      </c>
      <c r="F46" s="142" t="s">
        <v>649</v>
      </c>
      <c r="G46" s="142" t="s">
        <v>650</v>
      </c>
      <c r="H46" s="142" t="s">
        <v>650</v>
      </c>
      <c r="I46" s="142" t="s">
        <v>650</v>
      </c>
      <c r="J46" s="142" t="s">
        <v>651</v>
      </c>
      <c r="K46" s="142" t="s">
        <v>210</v>
      </c>
      <c r="L46" s="142">
        <v>4</v>
      </c>
      <c r="M46" s="142" t="str">
        <f t="shared" ca="1" si="3"/>
        <v>Aucune case cochée</v>
      </c>
      <c r="N46" s="142" t="str">
        <f t="shared" ca="1" si="9"/>
        <v>Aucune case cochée</v>
      </c>
      <c r="O46" s="47">
        <v>1</v>
      </c>
      <c r="P46" s="142">
        <f t="shared" si="8"/>
        <v>4</v>
      </c>
      <c r="Q46" s="142">
        <f t="shared" ca="1" si="5"/>
        <v>4</v>
      </c>
      <c r="R46" s="142">
        <f t="shared" si="7"/>
        <v>4</v>
      </c>
      <c r="S46" s="218"/>
      <c r="T46" s="218"/>
      <c r="U46" s="219"/>
      <c r="V46" s="220"/>
      <c r="W46" s="218"/>
      <c r="X46" s="220"/>
      <c r="Y46" s="217"/>
      <c r="Z46" s="17"/>
    </row>
    <row r="47" spans="1:26" ht="32.1" customHeight="1" x14ac:dyDescent="0.2">
      <c r="A47" s="44" t="s">
        <v>659</v>
      </c>
      <c r="B47" s="44" t="s">
        <v>660</v>
      </c>
      <c r="C47" s="44" t="s">
        <v>662</v>
      </c>
      <c r="D47" s="44" t="s">
        <v>117</v>
      </c>
      <c r="E47" s="45">
        <f t="shared" si="0"/>
        <v>39</v>
      </c>
      <c r="F47" s="142" t="s">
        <v>649</v>
      </c>
      <c r="G47" s="142" t="s">
        <v>650</v>
      </c>
      <c r="H47" s="142" t="s">
        <v>650</v>
      </c>
      <c r="I47" s="142" t="s">
        <v>650</v>
      </c>
      <c r="J47" s="142" t="s">
        <v>651</v>
      </c>
      <c r="K47" s="142" t="s">
        <v>210</v>
      </c>
      <c r="L47" s="142">
        <v>4</v>
      </c>
      <c r="M47" s="142" t="str">
        <f t="shared" ca="1" si="3"/>
        <v>Aucune case cochée</v>
      </c>
      <c r="N47" s="142" t="str">
        <f t="shared" ca="1" si="9"/>
        <v>Aucune case cochée</v>
      </c>
      <c r="O47" s="47">
        <v>1</v>
      </c>
      <c r="P47" s="142">
        <f t="shared" si="8"/>
        <v>4</v>
      </c>
      <c r="Q47" s="142">
        <f t="shared" ca="1" si="5"/>
        <v>4</v>
      </c>
      <c r="R47" s="142">
        <f t="shared" si="7"/>
        <v>4</v>
      </c>
      <c r="S47" s="218"/>
      <c r="T47" s="218"/>
      <c r="U47" s="219"/>
      <c r="V47" s="220"/>
      <c r="W47" s="218"/>
      <c r="X47" s="220"/>
      <c r="Y47" s="217"/>
      <c r="Z47" s="17"/>
    </row>
    <row r="48" spans="1:26" ht="32.1" customHeight="1" x14ac:dyDescent="0.2">
      <c r="A48" s="44" t="s">
        <v>659</v>
      </c>
      <c r="B48" s="44" t="s">
        <v>660</v>
      </c>
      <c r="C48" s="44" t="s">
        <v>662</v>
      </c>
      <c r="D48" s="44" t="s">
        <v>118</v>
      </c>
      <c r="E48" s="45">
        <f t="shared" si="0"/>
        <v>41</v>
      </c>
      <c r="F48" s="142" t="s">
        <v>649</v>
      </c>
      <c r="G48" s="142" t="s">
        <v>651</v>
      </c>
      <c r="H48" s="142" t="s">
        <v>651</v>
      </c>
      <c r="I48" s="142" t="s">
        <v>651</v>
      </c>
      <c r="J48" s="142" t="s">
        <v>651</v>
      </c>
      <c r="K48" s="142" t="s">
        <v>210</v>
      </c>
      <c r="L48" s="142">
        <v>2</v>
      </c>
      <c r="M48" s="142" t="str">
        <f t="shared" ca="1" si="3"/>
        <v>Aucune case cochée</v>
      </c>
      <c r="N48" s="142" t="str">
        <f t="shared" ca="1" si="9"/>
        <v>Aucune case cochée</v>
      </c>
      <c r="O48" s="47">
        <v>1</v>
      </c>
      <c r="P48" s="142">
        <f t="shared" si="8"/>
        <v>2</v>
      </c>
      <c r="Q48" s="142">
        <f t="shared" ca="1" si="5"/>
        <v>2</v>
      </c>
      <c r="R48" s="142">
        <f t="shared" si="7"/>
        <v>2</v>
      </c>
      <c r="S48" s="218"/>
      <c r="T48" s="218"/>
      <c r="U48" s="219"/>
      <c r="V48" s="220"/>
      <c r="W48" s="218"/>
      <c r="X48" s="220"/>
      <c r="Y48" s="217"/>
      <c r="Z48" s="17"/>
    </row>
    <row r="49" spans="1:26" ht="32.1" customHeight="1" x14ac:dyDescent="0.2">
      <c r="A49" s="44" t="s">
        <v>659</v>
      </c>
      <c r="B49" s="44" t="s">
        <v>660</v>
      </c>
      <c r="C49" s="44" t="s">
        <v>662</v>
      </c>
      <c r="D49" s="48" t="s">
        <v>119</v>
      </c>
      <c r="E49" s="45">
        <f t="shared" si="0"/>
        <v>43</v>
      </c>
      <c r="F49" s="142" t="s">
        <v>649</v>
      </c>
      <c r="G49" s="142" t="s">
        <v>650</v>
      </c>
      <c r="H49" s="142" t="s">
        <v>650</v>
      </c>
      <c r="I49" s="142" t="s">
        <v>651</v>
      </c>
      <c r="J49" s="142" t="s">
        <v>210</v>
      </c>
      <c r="K49" s="142" t="s">
        <v>210</v>
      </c>
      <c r="L49" s="142">
        <v>4</v>
      </c>
      <c r="M49" s="142" t="str">
        <f t="shared" ca="1" si="3"/>
        <v>Aucune case cochée</v>
      </c>
      <c r="N49" s="142" t="str">
        <f t="shared" ca="1" si="9"/>
        <v>Aucune case cochée</v>
      </c>
      <c r="O49" s="47">
        <v>1</v>
      </c>
      <c r="P49" s="142">
        <f t="shared" si="8"/>
        <v>4</v>
      </c>
      <c r="Q49" s="142">
        <f t="shared" ca="1" si="5"/>
        <v>4</v>
      </c>
      <c r="R49" s="142">
        <f t="shared" si="7"/>
        <v>4</v>
      </c>
      <c r="S49" s="218"/>
      <c r="T49" s="218"/>
      <c r="U49" s="219"/>
      <c r="V49" s="220"/>
      <c r="W49" s="218"/>
      <c r="X49" s="220"/>
      <c r="Y49" s="217"/>
      <c r="Z49" s="17"/>
    </row>
    <row r="50" spans="1:26" ht="32.1" customHeight="1" x14ac:dyDescent="0.2">
      <c r="A50" s="44" t="s">
        <v>659</v>
      </c>
      <c r="B50" s="44" t="s">
        <v>660</v>
      </c>
      <c r="C50" s="44" t="s">
        <v>662</v>
      </c>
      <c r="D50" s="44" t="s">
        <v>120</v>
      </c>
      <c r="E50" s="45">
        <f t="shared" si="0"/>
        <v>45</v>
      </c>
      <c r="F50" s="142" t="s">
        <v>656</v>
      </c>
      <c r="G50" s="142" t="s">
        <v>650</v>
      </c>
      <c r="H50" s="142" t="s">
        <v>650</v>
      </c>
      <c r="I50" s="142" t="s">
        <v>651</v>
      </c>
      <c r="J50" s="142" t="s">
        <v>210</v>
      </c>
      <c r="K50" s="142" t="s">
        <v>210</v>
      </c>
      <c r="L50" s="142">
        <v>1</v>
      </c>
      <c r="M50" s="142" t="str">
        <f t="shared" ca="1" si="3"/>
        <v>Aucune case cochée</v>
      </c>
      <c r="N50" s="142" t="str">
        <f t="shared" ca="1" si="9"/>
        <v>Aucune case cochée</v>
      </c>
      <c r="O50" s="47">
        <v>0</v>
      </c>
      <c r="P50" s="142">
        <f t="shared" si="8"/>
        <v>0</v>
      </c>
      <c r="Q50" s="142">
        <f t="shared" ca="1" si="5"/>
        <v>3</v>
      </c>
      <c r="R50" s="142">
        <f t="shared" si="7"/>
        <v>3</v>
      </c>
      <c r="S50" s="218"/>
      <c r="T50" s="218"/>
      <c r="U50" s="219"/>
      <c r="V50" s="220"/>
      <c r="W50" s="218"/>
      <c r="X50" s="220"/>
      <c r="Y50" s="217"/>
      <c r="Z50" s="17"/>
    </row>
    <row r="51" spans="1:26" ht="32.1" customHeight="1" x14ac:dyDescent="0.2">
      <c r="A51" s="44" t="s">
        <v>659</v>
      </c>
      <c r="B51" s="44" t="s">
        <v>660</v>
      </c>
      <c r="C51" s="44" t="s">
        <v>662</v>
      </c>
      <c r="D51" s="44" t="s">
        <v>121</v>
      </c>
      <c r="E51" s="45">
        <f t="shared" si="0"/>
        <v>47</v>
      </c>
      <c r="F51" s="142" t="s">
        <v>656</v>
      </c>
      <c r="G51" s="142" t="s">
        <v>650</v>
      </c>
      <c r="H51" s="142" t="s">
        <v>650</v>
      </c>
      <c r="I51" s="142" t="s">
        <v>651</v>
      </c>
      <c r="J51" s="142" t="s">
        <v>210</v>
      </c>
      <c r="K51" s="142" t="s">
        <v>210</v>
      </c>
      <c r="L51" s="142">
        <v>1</v>
      </c>
      <c r="M51" s="142" t="str">
        <f t="shared" ca="1" si="3"/>
        <v>Aucune case cochée</v>
      </c>
      <c r="N51" s="142" t="str">
        <f t="shared" ca="1" si="9"/>
        <v>Aucune case cochée</v>
      </c>
      <c r="O51" s="47">
        <v>0</v>
      </c>
      <c r="P51" s="142">
        <f t="shared" si="8"/>
        <v>0</v>
      </c>
      <c r="Q51" s="142">
        <f t="shared" ca="1" si="5"/>
        <v>3</v>
      </c>
      <c r="R51" s="142">
        <f t="shared" si="7"/>
        <v>3</v>
      </c>
      <c r="S51" s="218"/>
      <c r="T51" s="218"/>
      <c r="U51" s="219"/>
      <c r="V51" s="220"/>
      <c r="W51" s="218"/>
      <c r="X51" s="220"/>
      <c r="Y51" s="217"/>
      <c r="Z51" s="17"/>
    </row>
    <row r="52" spans="1:26" ht="32.1" customHeight="1" x14ac:dyDescent="0.2">
      <c r="A52" s="44" t="s">
        <v>659</v>
      </c>
      <c r="B52" s="44" t="s">
        <v>660</v>
      </c>
      <c r="C52" s="44" t="s">
        <v>662</v>
      </c>
      <c r="D52" s="44" t="s">
        <v>122</v>
      </c>
      <c r="E52" s="45">
        <f t="shared" si="0"/>
        <v>49</v>
      </c>
      <c r="F52" s="142" t="s">
        <v>649</v>
      </c>
      <c r="G52" s="142" t="s">
        <v>650</v>
      </c>
      <c r="H52" s="142" t="s">
        <v>650</v>
      </c>
      <c r="I52" s="142" t="s">
        <v>650</v>
      </c>
      <c r="J52" s="142" t="s">
        <v>650</v>
      </c>
      <c r="K52" s="142" t="s">
        <v>650</v>
      </c>
      <c r="L52" s="142">
        <v>2</v>
      </c>
      <c r="M52" s="142" t="str">
        <f t="shared" ca="1" si="3"/>
        <v>Aucune case cochée</v>
      </c>
      <c r="N52" s="142" t="str">
        <f t="shared" ca="1" si="9"/>
        <v>Aucune case cochée</v>
      </c>
      <c r="O52" s="47">
        <v>1</v>
      </c>
      <c r="P52" s="142">
        <f t="shared" si="8"/>
        <v>2</v>
      </c>
      <c r="Q52" s="142">
        <f t="shared" ca="1" si="5"/>
        <v>2</v>
      </c>
      <c r="R52" s="142">
        <f t="shared" si="7"/>
        <v>2</v>
      </c>
      <c r="S52" s="218"/>
      <c r="T52" s="218"/>
      <c r="U52" s="219"/>
      <c r="V52" s="220"/>
      <c r="W52" s="218"/>
      <c r="X52" s="220"/>
      <c r="Y52" s="217"/>
      <c r="Z52" s="17"/>
    </row>
    <row r="53" spans="1:26" ht="32.1" customHeight="1" x14ac:dyDescent="0.2">
      <c r="A53" s="44" t="s">
        <v>659</v>
      </c>
      <c r="B53" s="44" t="s">
        <v>660</v>
      </c>
      <c r="C53" s="44" t="s">
        <v>662</v>
      </c>
      <c r="D53" s="44" t="s">
        <v>123</v>
      </c>
      <c r="E53" s="45">
        <f t="shared" si="0"/>
        <v>51</v>
      </c>
      <c r="F53" s="142" t="s">
        <v>649</v>
      </c>
      <c r="G53" s="142" t="s">
        <v>650</v>
      </c>
      <c r="H53" s="142" t="s">
        <v>650</v>
      </c>
      <c r="I53" s="142" t="s">
        <v>650</v>
      </c>
      <c r="J53" s="142" t="s">
        <v>651</v>
      </c>
      <c r="K53" s="142" t="s">
        <v>210</v>
      </c>
      <c r="L53" s="142">
        <v>4</v>
      </c>
      <c r="M53" s="142" t="str">
        <f t="shared" ca="1" si="3"/>
        <v>Aucune case cochée</v>
      </c>
      <c r="N53" s="142" t="str">
        <f t="shared" ca="1" si="9"/>
        <v>Aucune case cochée</v>
      </c>
      <c r="O53" s="47">
        <v>1</v>
      </c>
      <c r="P53" s="142">
        <f t="shared" si="8"/>
        <v>4</v>
      </c>
      <c r="Q53" s="142">
        <f t="shared" ca="1" si="5"/>
        <v>4</v>
      </c>
      <c r="R53" s="142">
        <f t="shared" si="7"/>
        <v>4</v>
      </c>
      <c r="S53" s="218"/>
      <c r="T53" s="218"/>
      <c r="U53" s="219"/>
      <c r="V53" s="220"/>
      <c r="W53" s="218"/>
      <c r="X53" s="220"/>
      <c r="Y53" s="217"/>
      <c r="Z53" s="17"/>
    </row>
    <row r="54" spans="1:26" ht="32.1" customHeight="1" x14ac:dyDescent="0.2">
      <c r="A54" s="44" t="s">
        <v>659</v>
      </c>
      <c r="B54" s="44" t="s">
        <v>660</v>
      </c>
      <c r="C54" s="44" t="s">
        <v>662</v>
      </c>
      <c r="D54" s="44" t="s">
        <v>124</v>
      </c>
      <c r="E54" s="45">
        <f t="shared" si="0"/>
        <v>53</v>
      </c>
      <c r="F54" s="142" t="s">
        <v>649</v>
      </c>
      <c r="G54" s="142" t="s">
        <v>651</v>
      </c>
      <c r="H54" s="142" t="s">
        <v>651</v>
      </c>
      <c r="I54" s="142" t="s">
        <v>651</v>
      </c>
      <c r="J54" s="142" t="s">
        <v>651</v>
      </c>
      <c r="K54" s="142" t="s">
        <v>651</v>
      </c>
      <c r="L54" s="142">
        <v>1</v>
      </c>
      <c r="M54" s="142" t="str">
        <f t="shared" ca="1" si="3"/>
        <v>Aucune case cochée</v>
      </c>
      <c r="N54" s="142" t="str">
        <f t="shared" ca="1" si="9"/>
        <v>Aucune case cochée</v>
      </c>
      <c r="O54" s="47">
        <v>1</v>
      </c>
      <c r="P54" s="142">
        <f t="shared" si="8"/>
        <v>1</v>
      </c>
      <c r="Q54" s="142">
        <f t="shared" ca="1" si="5"/>
        <v>1</v>
      </c>
      <c r="R54" s="142">
        <f t="shared" si="7"/>
        <v>1</v>
      </c>
      <c r="S54" s="218"/>
      <c r="T54" s="218"/>
      <c r="U54" s="219"/>
      <c r="V54" s="220"/>
      <c r="W54" s="218"/>
      <c r="X54" s="220"/>
      <c r="Y54" s="217"/>
      <c r="Z54" s="17"/>
    </row>
    <row r="55" spans="1:26" ht="32.1" customHeight="1" x14ac:dyDescent="0.2">
      <c r="A55" s="44" t="s">
        <v>659</v>
      </c>
      <c r="B55" s="44" t="s">
        <v>663</v>
      </c>
      <c r="C55" s="44" t="s">
        <v>664</v>
      </c>
      <c r="D55" s="44" t="s">
        <v>127</v>
      </c>
      <c r="E55" s="45">
        <f t="shared" si="0"/>
        <v>10</v>
      </c>
      <c r="F55" s="142" t="s">
        <v>649</v>
      </c>
      <c r="G55" s="142" t="s">
        <v>650</v>
      </c>
      <c r="H55" s="142" t="s">
        <v>650</v>
      </c>
      <c r="I55" s="142" t="s">
        <v>650</v>
      </c>
      <c r="J55" s="142" t="s">
        <v>650</v>
      </c>
      <c r="K55" s="142" t="s">
        <v>650</v>
      </c>
      <c r="L55" s="142">
        <v>2</v>
      </c>
      <c r="M55" s="142" t="str">
        <f t="shared" ca="1" si="3"/>
        <v>Aucune case cochée</v>
      </c>
      <c r="N55" s="142" t="str">
        <f t="shared" ca="1" si="9"/>
        <v>Aucune case cochée</v>
      </c>
      <c r="O55" s="47">
        <v>1</v>
      </c>
      <c r="P55" s="142">
        <f t="shared" si="8"/>
        <v>2</v>
      </c>
      <c r="Q55" s="142">
        <f t="shared" ca="1" si="5"/>
        <v>2</v>
      </c>
      <c r="R55" s="142">
        <f t="shared" si="7"/>
        <v>2</v>
      </c>
      <c r="S55" s="218">
        <f ca="1">SUM(P55:P71)</f>
        <v>34</v>
      </c>
      <c r="T55" s="218">
        <f>SUM(R55:R71)</f>
        <v>44</v>
      </c>
      <c r="U55" s="219">
        <f ca="1">+S55/T55</f>
        <v>0.77272727272727271</v>
      </c>
      <c r="V55" s="220">
        <v>0.3</v>
      </c>
      <c r="W55" s="218"/>
      <c r="X55" s="220"/>
      <c r="Y55" s="217"/>
      <c r="Z55" s="17"/>
    </row>
    <row r="56" spans="1:26" ht="32.1" customHeight="1" x14ac:dyDescent="0.2">
      <c r="A56" s="44" t="s">
        <v>659</v>
      </c>
      <c r="B56" s="44" t="s">
        <v>663</v>
      </c>
      <c r="C56" s="44" t="s">
        <v>664</v>
      </c>
      <c r="D56" s="44" t="s">
        <v>128</v>
      </c>
      <c r="E56" s="45">
        <f t="shared" si="0"/>
        <v>12</v>
      </c>
      <c r="F56" s="142" t="s">
        <v>649</v>
      </c>
      <c r="G56" s="142" t="s">
        <v>650</v>
      </c>
      <c r="H56" s="142" t="s">
        <v>650</v>
      </c>
      <c r="I56" s="142" t="s">
        <v>650</v>
      </c>
      <c r="J56" s="142" t="s">
        <v>650</v>
      </c>
      <c r="K56" s="142" t="s">
        <v>650</v>
      </c>
      <c r="L56" s="142">
        <v>2</v>
      </c>
      <c r="M56" s="142" t="str">
        <f t="shared" ca="1" si="3"/>
        <v>Aucune case cochée</v>
      </c>
      <c r="N56" s="142" t="str">
        <f t="shared" ca="1" si="9"/>
        <v>Aucune case cochée</v>
      </c>
      <c r="O56" s="47">
        <v>1</v>
      </c>
      <c r="P56" s="142">
        <f t="shared" si="8"/>
        <v>2</v>
      </c>
      <c r="Q56" s="142">
        <f t="shared" ca="1" si="5"/>
        <v>2</v>
      </c>
      <c r="R56" s="142">
        <f t="shared" si="7"/>
        <v>2</v>
      </c>
      <c r="S56" s="218"/>
      <c r="T56" s="218"/>
      <c r="U56" s="219"/>
      <c r="V56" s="220"/>
      <c r="W56" s="218"/>
      <c r="X56" s="220"/>
      <c r="Y56" s="217"/>
      <c r="Z56" s="17"/>
    </row>
    <row r="57" spans="1:26" ht="32.1" customHeight="1" x14ac:dyDescent="0.2">
      <c r="A57" s="44" t="s">
        <v>659</v>
      </c>
      <c r="B57" s="44" t="s">
        <v>663</v>
      </c>
      <c r="C57" s="44" t="s">
        <v>664</v>
      </c>
      <c r="D57" s="44" t="s">
        <v>129</v>
      </c>
      <c r="E57" s="45">
        <f t="shared" si="0"/>
        <v>14</v>
      </c>
      <c r="F57" s="142" t="s">
        <v>649</v>
      </c>
      <c r="G57" s="142" t="s">
        <v>650</v>
      </c>
      <c r="H57" s="142" t="s">
        <v>650</v>
      </c>
      <c r="I57" s="142" t="s">
        <v>210</v>
      </c>
      <c r="J57" s="142" t="s">
        <v>210</v>
      </c>
      <c r="K57" s="142" t="s">
        <v>650</v>
      </c>
      <c r="L57" s="142">
        <v>1</v>
      </c>
      <c r="M57" s="142" t="str">
        <f t="shared" ca="1" si="3"/>
        <v>Aucune case cochée</v>
      </c>
      <c r="N57" s="142" t="str">
        <f t="shared" ca="1" si="9"/>
        <v>Aucune case cochée</v>
      </c>
      <c r="O57" s="47">
        <v>1</v>
      </c>
      <c r="P57" s="142">
        <f t="shared" si="8"/>
        <v>1</v>
      </c>
      <c r="Q57" s="142">
        <f t="shared" ca="1" si="5"/>
        <v>1</v>
      </c>
      <c r="R57" s="142">
        <f t="shared" si="7"/>
        <v>1</v>
      </c>
      <c r="S57" s="218"/>
      <c r="T57" s="218"/>
      <c r="U57" s="219"/>
      <c r="V57" s="220"/>
      <c r="W57" s="218"/>
      <c r="X57" s="220"/>
      <c r="Y57" s="217"/>
      <c r="Z57" s="17"/>
    </row>
    <row r="58" spans="1:26" ht="32.1" customHeight="1" x14ac:dyDescent="0.2">
      <c r="A58" s="44" t="s">
        <v>659</v>
      </c>
      <c r="B58" s="44" t="s">
        <v>663</v>
      </c>
      <c r="C58" s="44" t="s">
        <v>664</v>
      </c>
      <c r="D58" s="44" t="s">
        <v>130</v>
      </c>
      <c r="E58" s="45">
        <f t="shared" si="0"/>
        <v>16</v>
      </c>
      <c r="F58" s="142" t="s">
        <v>649</v>
      </c>
      <c r="G58" s="142" t="s">
        <v>650</v>
      </c>
      <c r="H58" s="142" t="s">
        <v>650</v>
      </c>
      <c r="I58" s="142" t="s">
        <v>650</v>
      </c>
      <c r="J58" s="142" t="s">
        <v>650</v>
      </c>
      <c r="K58" s="142" t="s">
        <v>650</v>
      </c>
      <c r="L58" s="142">
        <v>1</v>
      </c>
      <c r="M58" s="142" t="str">
        <f ca="1">IFERROR(INDEX(INDIRECT(B58 &amp; "!G" &amp; E58 &amp; ":M" &amp; E58), 1, MATCH(TRUE, INDIRECT(B58 &amp; "!G" &amp; (E58+1) &amp; ":M" &amp; (E58+1)), 0)), "Aucune case cochée")</f>
        <v>Aucune case cochée</v>
      </c>
      <c r="N58" s="146" t="str">
        <f ca="1">IF(M58="Aucune case cochée",M58,IF(M58&lt;&gt;"24h/24",0))</f>
        <v>Aucune case cochée</v>
      </c>
      <c r="O58" s="47" t="s">
        <v>665</v>
      </c>
      <c r="P58" s="142">
        <f ca="1">IF(M58="Non concerné",M58,IF(M58="24H/24",4,IF(M58="Entre 16 et 24H/J",2,IF(M58="Entre 12 et 16H/J",1,0))))</f>
        <v>0</v>
      </c>
      <c r="Q58" s="142">
        <f t="shared" ca="1" si="5"/>
        <v>4</v>
      </c>
      <c r="R58" s="142">
        <v>4</v>
      </c>
      <c r="S58" s="218"/>
      <c r="T58" s="218"/>
      <c r="U58" s="219"/>
      <c r="V58" s="220"/>
      <c r="W58" s="218"/>
      <c r="X58" s="220"/>
      <c r="Y58" s="217"/>
      <c r="Z58" s="17"/>
    </row>
    <row r="59" spans="1:26" ht="32.1" customHeight="1" x14ac:dyDescent="0.2">
      <c r="A59" s="44" t="s">
        <v>659</v>
      </c>
      <c r="B59" s="44" t="s">
        <v>663</v>
      </c>
      <c r="C59" s="44" t="s">
        <v>664</v>
      </c>
      <c r="D59" s="44" t="s">
        <v>135</v>
      </c>
      <c r="E59" s="45">
        <f t="shared" si="0"/>
        <v>18</v>
      </c>
      <c r="F59" s="142" t="s">
        <v>649</v>
      </c>
      <c r="G59" s="142" t="s">
        <v>650</v>
      </c>
      <c r="H59" s="142" t="s">
        <v>650</v>
      </c>
      <c r="I59" s="142" t="s">
        <v>651</v>
      </c>
      <c r="J59" s="142" t="s">
        <v>651</v>
      </c>
      <c r="K59" s="142" t="s">
        <v>210</v>
      </c>
      <c r="L59" s="142">
        <v>2</v>
      </c>
      <c r="M59" s="142" t="str">
        <f t="shared" ca="1" si="3"/>
        <v>Aucune case cochée</v>
      </c>
      <c r="N59" s="142" t="str">
        <f ca="1">IF(M59="Aucune case cochée",M59,IF(M59="NC","Non concerné",IF(M59="Oui",1*L59,IF(M59="Non",0,L59*M59))))</f>
        <v>Aucune case cochée</v>
      </c>
      <c r="O59" s="47">
        <v>1</v>
      </c>
      <c r="P59" s="142">
        <f t="shared" ref="P59:P90" si="10">IF(O59="Non concerné",O59,O59*L59)</f>
        <v>2</v>
      </c>
      <c r="Q59" s="142">
        <f t="shared" ca="1" si="5"/>
        <v>2</v>
      </c>
      <c r="R59" s="142">
        <f t="shared" ref="R59:R121" si="11">IF(O59="Non concerné",O59,IF(F59="Binaire",1,3)*L59)</f>
        <v>2</v>
      </c>
      <c r="S59" s="218"/>
      <c r="T59" s="218"/>
      <c r="U59" s="219"/>
      <c r="V59" s="220"/>
      <c r="W59" s="218"/>
      <c r="X59" s="220"/>
      <c r="Y59" s="217"/>
      <c r="Z59" s="17"/>
    </row>
    <row r="60" spans="1:26" ht="32.1" customHeight="1" x14ac:dyDescent="0.2">
      <c r="A60" s="44" t="s">
        <v>659</v>
      </c>
      <c r="B60" s="44" t="s">
        <v>663</v>
      </c>
      <c r="C60" s="44" t="s">
        <v>664</v>
      </c>
      <c r="D60" s="44" t="s">
        <v>136</v>
      </c>
      <c r="E60" s="45">
        <f t="shared" si="0"/>
        <v>20</v>
      </c>
      <c r="F60" s="142" t="s">
        <v>649</v>
      </c>
      <c r="G60" s="142" t="s">
        <v>650</v>
      </c>
      <c r="H60" s="142" t="s">
        <v>651</v>
      </c>
      <c r="I60" s="142" t="s">
        <v>651</v>
      </c>
      <c r="J60" s="142" t="s">
        <v>651</v>
      </c>
      <c r="K60" s="142" t="s">
        <v>210</v>
      </c>
      <c r="L60" s="142">
        <v>1</v>
      </c>
      <c r="M60" s="142" t="str">
        <f t="shared" ca="1" si="3"/>
        <v>Aucune case cochée</v>
      </c>
      <c r="N60" s="142" t="str">
        <f t="shared" ref="N60:N121" ca="1" si="12">IF(M60="Aucune case cochée",M60,IF(M60="NC","Non concerné",IF(M60="Oui",1*L60,IF(M60="Non",0,L60*M60))))</f>
        <v>Aucune case cochée</v>
      </c>
      <c r="O60" s="47">
        <v>1</v>
      </c>
      <c r="P60" s="142">
        <f t="shared" si="10"/>
        <v>1</v>
      </c>
      <c r="Q60" s="142">
        <f t="shared" ca="1" si="5"/>
        <v>1</v>
      </c>
      <c r="R60" s="142">
        <f t="shared" si="11"/>
        <v>1</v>
      </c>
      <c r="S60" s="218"/>
      <c r="T60" s="218"/>
      <c r="U60" s="219"/>
      <c r="V60" s="220"/>
      <c r="W60" s="218"/>
      <c r="X60" s="220"/>
      <c r="Y60" s="217"/>
      <c r="Z60" s="17"/>
    </row>
    <row r="61" spans="1:26" ht="32.1" customHeight="1" x14ac:dyDescent="0.2">
      <c r="A61" s="44" t="s">
        <v>659</v>
      </c>
      <c r="B61" s="44" t="s">
        <v>663</v>
      </c>
      <c r="C61" s="44" t="s">
        <v>664</v>
      </c>
      <c r="D61" s="44" t="s">
        <v>137</v>
      </c>
      <c r="E61" s="45">
        <f t="shared" si="0"/>
        <v>22</v>
      </c>
      <c r="F61" s="142" t="s">
        <v>649</v>
      </c>
      <c r="G61" s="142" t="s">
        <v>650</v>
      </c>
      <c r="H61" s="142" t="s">
        <v>650</v>
      </c>
      <c r="I61" s="142" t="s">
        <v>651</v>
      </c>
      <c r="J61" s="142" t="s">
        <v>210</v>
      </c>
      <c r="K61" s="142" t="s">
        <v>651</v>
      </c>
      <c r="L61" s="142">
        <v>4</v>
      </c>
      <c r="M61" s="142" t="str">
        <f t="shared" ca="1" si="3"/>
        <v>Aucune case cochée</v>
      </c>
      <c r="N61" s="142" t="str">
        <f t="shared" ca="1" si="12"/>
        <v>Aucune case cochée</v>
      </c>
      <c r="O61" s="47">
        <v>1</v>
      </c>
      <c r="P61" s="142">
        <f t="shared" si="10"/>
        <v>4</v>
      </c>
      <c r="Q61" s="142">
        <f t="shared" ca="1" si="5"/>
        <v>4</v>
      </c>
      <c r="R61" s="142">
        <f t="shared" si="11"/>
        <v>4</v>
      </c>
      <c r="S61" s="218"/>
      <c r="T61" s="218"/>
      <c r="U61" s="219"/>
      <c r="V61" s="220"/>
      <c r="W61" s="218"/>
      <c r="X61" s="220"/>
      <c r="Y61" s="217"/>
      <c r="Z61" s="17"/>
    </row>
    <row r="62" spans="1:26" ht="32.1" customHeight="1" x14ac:dyDescent="0.2">
      <c r="A62" s="44" t="s">
        <v>659</v>
      </c>
      <c r="B62" s="44" t="s">
        <v>663</v>
      </c>
      <c r="C62" s="44" t="s">
        <v>664</v>
      </c>
      <c r="D62" s="44" t="s">
        <v>138</v>
      </c>
      <c r="E62" s="45">
        <f t="shared" si="0"/>
        <v>24</v>
      </c>
      <c r="F62" s="142" t="s">
        <v>649</v>
      </c>
      <c r="G62" s="142" t="s">
        <v>650</v>
      </c>
      <c r="H62" s="142" t="s">
        <v>650</v>
      </c>
      <c r="I62" s="142" t="s">
        <v>651</v>
      </c>
      <c r="J62" s="142" t="s">
        <v>210</v>
      </c>
      <c r="K62" s="142" t="s">
        <v>651</v>
      </c>
      <c r="L62" s="142">
        <v>4</v>
      </c>
      <c r="M62" s="142" t="str">
        <f t="shared" ca="1" si="3"/>
        <v>Aucune case cochée</v>
      </c>
      <c r="N62" s="142" t="str">
        <f t="shared" ca="1" si="12"/>
        <v>Aucune case cochée</v>
      </c>
      <c r="O62" s="47">
        <v>1</v>
      </c>
      <c r="P62" s="142">
        <f t="shared" si="10"/>
        <v>4</v>
      </c>
      <c r="Q62" s="142">
        <f t="shared" ca="1" si="5"/>
        <v>4</v>
      </c>
      <c r="R62" s="142">
        <f t="shared" si="11"/>
        <v>4</v>
      </c>
      <c r="S62" s="218"/>
      <c r="T62" s="218"/>
      <c r="U62" s="219"/>
      <c r="V62" s="220"/>
      <c r="W62" s="218"/>
      <c r="X62" s="220"/>
      <c r="Y62" s="217"/>
      <c r="Z62" s="17"/>
    </row>
    <row r="63" spans="1:26" s="50" customFormat="1" ht="32.1" customHeight="1" x14ac:dyDescent="0.2">
      <c r="A63" s="44" t="s">
        <v>659</v>
      </c>
      <c r="B63" s="44" t="s">
        <v>663</v>
      </c>
      <c r="C63" s="44" t="s">
        <v>664</v>
      </c>
      <c r="D63" s="48" t="s">
        <v>139</v>
      </c>
      <c r="E63" s="45">
        <f t="shared" si="0"/>
        <v>26</v>
      </c>
      <c r="F63" s="143" t="s">
        <v>649</v>
      </c>
      <c r="G63" s="143" t="s">
        <v>650</v>
      </c>
      <c r="H63" s="143" t="s">
        <v>650</v>
      </c>
      <c r="I63" s="143" t="s">
        <v>651</v>
      </c>
      <c r="J63" s="143" t="s">
        <v>210</v>
      </c>
      <c r="K63" s="143" t="s">
        <v>210</v>
      </c>
      <c r="L63" s="143">
        <v>2</v>
      </c>
      <c r="M63" s="142" t="str">
        <f t="shared" ca="1" si="3"/>
        <v>Aucune case cochée</v>
      </c>
      <c r="N63" s="142" t="str">
        <f t="shared" ca="1" si="12"/>
        <v>Aucune case cochée</v>
      </c>
      <c r="O63" s="47">
        <v>1</v>
      </c>
      <c r="P63" s="142">
        <f t="shared" si="10"/>
        <v>2</v>
      </c>
      <c r="Q63" s="142">
        <f t="shared" ca="1" si="5"/>
        <v>2</v>
      </c>
      <c r="R63" s="142">
        <f t="shared" si="11"/>
        <v>2</v>
      </c>
      <c r="S63" s="218"/>
      <c r="T63" s="218"/>
      <c r="U63" s="219"/>
      <c r="V63" s="220"/>
      <c r="W63" s="218"/>
      <c r="X63" s="220"/>
      <c r="Y63" s="217"/>
      <c r="Z63" s="49"/>
    </row>
    <row r="64" spans="1:26" ht="32.1" customHeight="1" x14ac:dyDescent="0.2">
      <c r="A64" s="44" t="s">
        <v>659</v>
      </c>
      <c r="B64" s="44" t="s">
        <v>663</v>
      </c>
      <c r="C64" s="44" t="s">
        <v>664</v>
      </c>
      <c r="D64" s="44" t="s">
        <v>140</v>
      </c>
      <c r="E64" s="45">
        <f t="shared" si="0"/>
        <v>28</v>
      </c>
      <c r="F64" s="142" t="s">
        <v>649</v>
      </c>
      <c r="G64" s="142" t="s">
        <v>650</v>
      </c>
      <c r="H64" s="142" t="s">
        <v>650</v>
      </c>
      <c r="I64" s="142" t="s">
        <v>651</v>
      </c>
      <c r="J64" s="142" t="s">
        <v>210</v>
      </c>
      <c r="K64" s="142" t="s">
        <v>210</v>
      </c>
      <c r="L64" s="142">
        <v>2</v>
      </c>
      <c r="M64" s="142" t="str">
        <f t="shared" ca="1" si="3"/>
        <v>Aucune case cochée</v>
      </c>
      <c r="N64" s="142" t="str">
        <f t="shared" ca="1" si="12"/>
        <v>Aucune case cochée</v>
      </c>
      <c r="O64" s="47">
        <v>1</v>
      </c>
      <c r="P64" s="142">
        <f t="shared" si="10"/>
        <v>2</v>
      </c>
      <c r="Q64" s="142">
        <f t="shared" ca="1" si="5"/>
        <v>2</v>
      </c>
      <c r="R64" s="142">
        <f t="shared" si="11"/>
        <v>2</v>
      </c>
      <c r="S64" s="218"/>
      <c r="T64" s="218"/>
      <c r="U64" s="219"/>
      <c r="V64" s="220"/>
      <c r="W64" s="218"/>
      <c r="X64" s="220"/>
      <c r="Y64" s="217"/>
      <c r="Z64" s="17"/>
    </row>
    <row r="65" spans="1:26" ht="32.1" customHeight="1" x14ac:dyDescent="0.2">
      <c r="A65" s="44" t="s">
        <v>659</v>
      </c>
      <c r="B65" s="44" t="s">
        <v>663</v>
      </c>
      <c r="C65" s="44" t="s">
        <v>664</v>
      </c>
      <c r="D65" s="44" t="s">
        <v>141</v>
      </c>
      <c r="E65" s="45">
        <f t="shared" si="0"/>
        <v>30</v>
      </c>
      <c r="F65" s="142" t="s">
        <v>649</v>
      </c>
      <c r="G65" s="142" t="s">
        <v>650</v>
      </c>
      <c r="H65" s="142" t="s">
        <v>650</v>
      </c>
      <c r="I65" s="142" t="s">
        <v>650</v>
      </c>
      <c r="J65" s="142" t="s">
        <v>651</v>
      </c>
      <c r="K65" s="142" t="s">
        <v>210</v>
      </c>
      <c r="L65" s="142">
        <v>4</v>
      </c>
      <c r="M65" s="142" t="str">
        <f t="shared" ca="1" si="3"/>
        <v>Aucune case cochée</v>
      </c>
      <c r="N65" s="142" t="str">
        <f t="shared" ca="1" si="12"/>
        <v>Aucune case cochée</v>
      </c>
      <c r="O65" s="47">
        <v>1</v>
      </c>
      <c r="P65" s="142">
        <f t="shared" si="10"/>
        <v>4</v>
      </c>
      <c r="Q65" s="142">
        <f t="shared" ca="1" si="5"/>
        <v>4</v>
      </c>
      <c r="R65" s="142">
        <f t="shared" si="11"/>
        <v>4</v>
      </c>
      <c r="S65" s="218"/>
      <c r="T65" s="218"/>
      <c r="U65" s="219"/>
      <c r="V65" s="220"/>
      <c r="W65" s="218"/>
      <c r="X65" s="220"/>
      <c r="Y65" s="217"/>
      <c r="Z65" s="17"/>
    </row>
    <row r="66" spans="1:26" ht="32.1" customHeight="1" x14ac:dyDescent="0.2">
      <c r="A66" s="44" t="s">
        <v>659</v>
      </c>
      <c r="B66" s="44" t="s">
        <v>663</v>
      </c>
      <c r="C66" s="44" t="s">
        <v>664</v>
      </c>
      <c r="D66" s="44" t="s">
        <v>142</v>
      </c>
      <c r="E66" s="45">
        <f t="shared" si="0"/>
        <v>32</v>
      </c>
      <c r="F66" s="142" t="s">
        <v>649</v>
      </c>
      <c r="G66" s="142" t="s">
        <v>650</v>
      </c>
      <c r="H66" s="142" t="s">
        <v>650</v>
      </c>
      <c r="I66" s="142" t="s">
        <v>210</v>
      </c>
      <c r="J66" s="142" t="s">
        <v>210</v>
      </c>
      <c r="K66" s="142" t="s">
        <v>210</v>
      </c>
      <c r="L66" s="142">
        <v>4</v>
      </c>
      <c r="M66" s="142" t="str">
        <f t="shared" ca="1" si="3"/>
        <v>Aucune case cochée</v>
      </c>
      <c r="N66" s="142" t="str">
        <f t="shared" ca="1" si="12"/>
        <v>Aucune case cochée</v>
      </c>
      <c r="O66" s="47">
        <v>1</v>
      </c>
      <c r="P66" s="142">
        <f t="shared" si="10"/>
        <v>4</v>
      </c>
      <c r="Q66" s="142">
        <f t="shared" ca="1" si="5"/>
        <v>4</v>
      </c>
      <c r="R66" s="142">
        <f t="shared" si="11"/>
        <v>4</v>
      </c>
      <c r="S66" s="218"/>
      <c r="T66" s="218"/>
      <c r="U66" s="219"/>
      <c r="V66" s="220"/>
      <c r="W66" s="218"/>
      <c r="X66" s="220"/>
      <c r="Y66" s="217"/>
      <c r="Z66" s="17"/>
    </row>
    <row r="67" spans="1:26" ht="32.1" customHeight="1" x14ac:dyDescent="0.2">
      <c r="A67" s="44" t="s">
        <v>659</v>
      </c>
      <c r="B67" s="44" t="s">
        <v>663</v>
      </c>
      <c r="C67" s="44" t="s">
        <v>664</v>
      </c>
      <c r="D67" s="44" t="s">
        <v>143</v>
      </c>
      <c r="E67" s="45">
        <f t="shared" ref="E67:E129" si="13">IF(B67&lt;&gt;B66,10,IF(C67&lt;&gt;C66,E66+3,E66+2))</f>
        <v>34</v>
      </c>
      <c r="F67" s="142" t="s">
        <v>649</v>
      </c>
      <c r="G67" s="142" t="s">
        <v>650</v>
      </c>
      <c r="H67" s="142" t="s">
        <v>650</v>
      </c>
      <c r="I67" s="142" t="s">
        <v>210</v>
      </c>
      <c r="J67" s="142" t="s">
        <v>210</v>
      </c>
      <c r="K67" s="142" t="s">
        <v>210</v>
      </c>
      <c r="L67" s="142">
        <v>4</v>
      </c>
      <c r="M67" s="142" t="str">
        <f t="shared" ca="1" si="3"/>
        <v>Aucune case cochée</v>
      </c>
      <c r="N67" s="142" t="str">
        <f t="shared" ca="1" si="12"/>
        <v>Aucune case cochée</v>
      </c>
      <c r="O67" s="47">
        <v>1</v>
      </c>
      <c r="P67" s="142">
        <f t="shared" si="10"/>
        <v>4</v>
      </c>
      <c r="Q67" s="142">
        <f t="shared" ca="1" si="5"/>
        <v>4</v>
      </c>
      <c r="R67" s="142">
        <f t="shared" si="11"/>
        <v>4</v>
      </c>
      <c r="S67" s="218"/>
      <c r="T67" s="218"/>
      <c r="U67" s="219"/>
      <c r="V67" s="220"/>
      <c r="W67" s="218"/>
      <c r="X67" s="220"/>
      <c r="Y67" s="217"/>
      <c r="Z67" s="17"/>
    </row>
    <row r="68" spans="1:26" ht="32.1" customHeight="1" x14ac:dyDescent="0.2">
      <c r="A68" s="44" t="s">
        <v>659</v>
      </c>
      <c r="B68" s="44" t="s">
        <v>663</v>
      </c>
      <c r="C68" s="44" t="s">
        <v>664</v>
      </c>
      <c r="D68" s="44" t="s">
        <v>144</v>
      </c>
      <c r="E68" s="45">
        <f t="shared" si="13"/>
        <v>36</v>
      </c>
      <c r="F68" s="142" t="s">
        <v>656</v>
      </c>
      <c r="G68" s="142" t="s">
        <v>650</v>
      </c>
      <c r="H68" s="142" t="s">
        <v>650</v>
      </c>
      <c r="I68" s="142" t="s">
        <v>650</v>
      </c>
      <c r="J68" s="142" t="s">
        <v>651</v>
      </c>
      <c r="K68" s="142" t="s">
        <v>650</v>
      </c>
      <c r="L68" s="142">
        <v>1</v>
      </c>
      <c r="M68" s="142" t="str">
        <f t="shared" ca="1" si="3"/>
        <v>Aucune case cochée</v>
      </c>
      <c r="N68" s="142" t="str">
        <f t="shared" ca="1" si="12"/>
        <v>Aucune case cochée</v>
      </c>
      <c r="O68" s="47">
        <v>0</v>
      </c>
      <c r="P68" s="142">
        <f t="shared" si="10"/>
        <v>0</v>
      </c>
      <c r="Q68" s="142">
        <f t="shared" ca="1" si="5"/>
        <v>3</v>
      </c>
      <c r="R68" s="142">
        <f t="shared" si="11"/>
        <v>3</v>
      </c>
      <c r="S68" s="218"/>
      <c r="T68" s="218"/>
      <c r="U68" s="219"/>
      <c r="V68" s="220"/>
      <c r="W68" s="218"/>
      <c r="X68" s="220"/>
      <c r="Y68" s="217"/>
      <c r="Z68" s="17"/>
    </row>
    <row r="69" spans="1:26" ht="32.1" customHeight="1" x14ac:dyDescent="0.2">
      <c r="A69" s="44" t="s">
        <v>659</v>
      </c>
      <c r="B69" s="44" t="s">
        <v>663</v>
      </c>
      <c r="C69" s="44" t="s">
        <v>664</v>
      </c>
      <c r="D69" s="44" t="s">
        <v>145</v>
      </c>
      <c r="E69" s="45">
        <f t="shared" si="13"/>
        <v>38</v>
      </c>
      <c r="F69" s="142" t="s">
        <v>656</v>
      </c>
      <c r="G69" s="142" t="s">
        <v>650</v>
      </c>
      <c r="H69" s="142" t="s">
        <v>650</v>
      </c>
      <c r="I69" s="142" t="s">
        <v>650</v>
      </c>
      <c r="J69" s="142" t="s">
        <v>651</v>
      </c>
      <c r="K69" s="142" t="s">
        <v>650</v>
      </c>
      <c r="L69" s="142">
        <v>1</v>
      </c>
      <c r="M69" s="142" t="str">
        <f t="shared" ca="1" si="3"/>
        <v>Aucune case cochée</v>
      </c>
      <c r="N69" s="142" t="str">
        <f t="shared" ca="1" si="12"/>
        <v>Aucune case cochée</v>
      </c>
      <c r="O69" s="47">
        <v>0</v>
      </c>
      <c r="P69" s="142">
        <f t="shared" si="10"/>
        <v>0</v>
      </c>
      <c r="Q69" s="142">
        <f t="shared" ca="1" si="5"/>
        <v>3</v>
      </c>
      <c r="R69" s="142">
        <f t="shared" si="11"/>
        <v>3</v>
      </c>
      <c r="S69" s="218"/>
      <c r="T69" s="218"/>
      <c r="U69" s="219"/>
      <c r="V69" s="220"/>
      <c r="W69" s="218"/>
      <c r="X69" s="220"/>
      <c r="Y69" s="217"/>
      <c r="Z69" s="17"/>
    </row>
    <row r="70" spans="1:26" ht="32.1" customHeight="1" x14ac:dyDescent="0.2">
      <c r="A70" s="44" t="s">
        <v>659</v>
      </c>
      <c r="B70" s="44" t="s">
        <v>663</v>
      </c>
      <c r="C70" s="44" t="s">
        <v>664</v>
      </c>
      <c r="D70" s="44" t="s">
        <v>146</v>
      </c>
      <c r="E70" s="45">
        <f t="shared" si="13"/>
        <v>40</v>
      </c>
      <c r="F70" s="142" t="s">
        <v>649</v>
      </c>
      <c r="G70" s="142" t="s">
        <v>651</v>
      </c>
      <c r="H70" s="142" t="s">
        <v>651</v>
      </c>
      <c r="I70" s="142" t="s">
        <v>651</v>
      </c>
      <c r="J70" s="142" t="s">
        <v>651</v>
      </c>
      <c r="K70" s="142" t="s">
        <v>651</v>
      </c>
      <c r="L70" s="142">
        <v>1</v>
      </c>
      <c r="M70" s="142" t="str">
        <f t="shared" ref="M70:M132" ca="1" si="14">IFERROR(INDEX(INDIRECT(B70 &amp; "!G" &amp; E70 &amp; ":M" &amp; E70), 1, MATCH(TRUE, INDIRECT(B70 &amp; "!G" &amp; (E70+1) &amp; ":M" &amp; (E70+1)), 0)), "Aucune case cochée")</f>
        <v>Aucune case cochée</v>
      </c>
      <c r="N70" s="142" t="str">
        <f t="shared" ca="1" si="12"/>
        <v>Aucune case cochée</v>
      </c>
      <c r="O70" s="47">
        <v>1</v>
      </c>
      <c r="P70" s="142">
        <f t="shared" si="10"/>
        <v>1</v>
      </c>
      <c r="Q70" s="142">
        <f t="shared" ref="Q70:Q132" ca="1" si="15">IF(N70="Non concerné",N70,R70)</f>
        <v>1</v>
      </c>
      <c r="R70" s="142">
        <f t="shared" si="11"/>
        <v>1</v>
      </c>
      <c r="S70" s="218"/>
      <c r="T70" s="218"/>
      <c r="U70" s="219"/>
      <c r="V70" s="220"/>
      <c r="W70" s="218"/>
      <c r="X70" s="220"/>
      <c r="Y70" s="217"/>
      <c r="Z70" s="17"/>
    </row>
    <row r="71" spans="1:26" ht="32.1" customHeight="1" x14ac:dyDescent="0.2">
      <c r="A71" s="44" t="s">
        <v>659</v>
      </c>
      <c r="B71" s="44" t="s">
        <v>663</v>
      </c>
      <c r="C71" s="44" t="s">
        <v>664</v>
      </c>
      <c r="D71" s="44" t="s">
        <v>147</v>
      </c>
      <c r="E71" s="45">
        <f t="shared" si="13"/>
        <v>42</v>
      </c>
      <c r="F71" s="142" t="s">
        <v>649</v>
      </c>
      <c r="G71" s="142" t="s">
        <v>651</v>
      </c>
      <c r="H71" s="142" t="s">
        <v>651</v>
      </c>
      <c r="I71" s="142" t="s">
        <v>651</v>
      </c>
      <c r="J71" s="142" t="s">
        <v>651</v>
      </c>
      <c r="K71" s="142" t="s">
        <v>651</v>
      </c>
      <c r="L71" s="142">
        <v>1</v>
      </c>
      <c r="M71" s="142" t="str">
        <f t="shared" ca="1" si="14"/>
        <v>Aucune case cochée</v>
      </c>
      <c r="N71" s="142" t="str">
        <f t="shared" ca="1" si="12"/>
        <v>Aucune case cochée</v>
      </c>
      <c r="O71" s="47">
        <v>1</v>
      </c>
      <c r="P71" s="142">
        <f t="shared" si="10"/>
        <v>1</v>
      </c>
      <c r="Q71" s="142">
        <f t="shared" ca="1" si="15"/>
        <v>1</v>
      </c>
      <c r="R71" s="142">
        <f t="shared" si="11"/>
        <v>1</v>
      </c>
      <c r="S71" s="218"/>
      <c r="T71" s="218"/>
      <c r="U71" s="219"/>
      <c r="V71" s="220"/>
      <c r="W71" s="218"/>
      <c r="X71" s="220"/>
      <c r="Y71" s="217"/>
      <c r="Z71" s="17"/>
    </row>
    <row r="72" spans="1:26" s="2" customFormat="1" ht="32.1" customHeight="1" x14ac:dyDescent="0.3">
      <c r="A72" s="44" t="s">
        <v>659</v>
      </c>
      <c r="B72" s="44" t="s">
        <v>666</v>
      </c>
      <c r="C72" s="44" t="s">
        <v>667</v>
      </c>
      <c r="D72" s="44" t="s">
        <v>150</v>
      </c>
      <c r="E72" s="45">
        <f t="shared" si="13"/>
        <v>10</v>
      </c>
      <c r="F72" s="142" t="s">
        <v>649</v>
      </c>
      <c r="G72" s="142" t="s">
        <v>650</v>
      </c>
      <c r="H72" s="142" t="s">
        <v>650</v>
      </c>
      <c r="I72" s="142" t="s">
        <v>210</v>
      </c>
      <c r="J72" s="142" t="s">
        <v>210</v>
      </c>
      <c r="K72" s="142" t="s">
        <v>210</v>
      </c>
      <c r="L72" s="142">
        <v>6</v>
      </c>
      <c r="M72" s="142" t="str">
        <f t="shared" ca="1" si="14"/>
        <v>Aucune case cochée</v>
      </c>
      <c r="N72" s="142" t="str">
        <f t="shared" ca="1" si="12"/>
        <v>Aucune case cochée</v>
      </c>
      <c r="O72" s="47">
        <v>1</v>
      </c>
      <c r="P72" s="142">
        <f t="shared" si="10"/>
        <v>6</v>
      </c>
      <c r="Q72" s="142">
        <f t="shared" ca="1" si="15"/>
        <v>6</v>
      </c>
      <c r="R72" s="142">
        <f t="shared" si="11"/>
        <v>6</v>
      </c>
      <c r="S72" s="218">
        <f>SUM(P72:P82)</f>
        <v>20</v>
      </c>
      <c r="T72" s="218">
        <f>SUM(R72:R82)</f>
        <v>26</v>
      </c>
      <c r="U72" s="219">
        <f>+S72/T72</f>
        <v>0.76923076923076927</v>
      </c>
      <c r="V72" s="220">
        <v>0.15</v>
      </c>
      <c r="W72" s="218"/>
      <c r="X72" s="220"/>
      <c r="Y72" s="217"/>
      <c r="Z72" s="18"/>
    </row>
    <row r="73" spans="1:26" ht="32.1" customHeight="1" x14ac:dyDescent="0.2">
      <c r="A73" s="44" t="s">
        <v>659</v>
      </c>
      <c r="B73" s="44" t="s">
        <v>666</v>
      </c>
      <c r="C73" s="44" t="s">
        <v>667</v>
      </c>
      <c r="D73" s="44" t="s">
        <v>151</v>
      </c>
      <c r="E73" s="45">
        <f t="shared" si="13"/>
        <v>12</v>
      </c>
      <c r="F73" s="142" t="s">
        <v>649</v>
      </c>
      <c r="G73" s="142" t="s">
        <v>650</v>
      </c>
      <c r="H73" s="142" t="s">
        <v>650</v>
      </c>
      <c r="I73" s="142" t="s">
        <v>210</v>
      </c>
      <c r="J73" s="142" t="s">
        <v>210</v>
      </c>
      <c r="K73" s="142" t="s">
        <v>210</v>
      </c>
      <c r="L73" s="142">
        <v>4</v>
      </c>
      <c r="M73" s="142" t="str">
        <f t="shared" ca="1" si="14"/>
        <v>Aucune case cochée</v>
      </c>
      <c r="N73" s="142" t="str">
        <f t="shared" ca="1" si="12"/>
        <v>Aucune case cochée</v>
      </c>
      <c r="O73" s="47">
        <v>1</v>
      </c>
      <c r="P73" s="142">
        <f t="shared" si="10"/>
        <v>4</v>
      </c>
      <c r="Q73" s="142">
        <f t="shared" ca="1" si="15"/>
        <v>4</v>
      </c>
      <c r="R73" s="142">
        <f t="shared" si="11"/>
        <v>4</v>
      </c>
      <c r="S73" s="218"/>
      <c r="T73" s="218"/>
      <c r="U73" s="219"/>
      <c r="V73" s="220"/>
      <c r="W73" s="218"/>
      <c r="X73" s="220"/>
      <c r="Y73" s="217"/>
      <c r="Z73" s="17"/>
    </row>
    <row r="74" spans="1:26" ht="32.1" customHeight="1" x14ac:dyDescent="0.2">
      <c r="A74" s="44" t="s">
        <v>659</v>
      </c>
      <c r="B74" s="44" t="s">
        <v>666</v>
      </c>
      <c r="C74" s="44" t="s">
        <v>667</v>
      </c>
      <c r="D74" s="44" t="s">
        <v>152</v>
      </c>
      <c r="E74" s="45">
        <f t="shared" si="13"/>
        <v>14</v>
      </c>
      <c r="F74" s="142" t="s">
        <v>656</v>
      </c>
      <c r="G74" s="142" t="s">
        <v>650</v>
      </c>
      <c r="H74" s="142" t="s">
        <v>650</v>
      </c>
      <c r="I74" s="142" t="s">
        <v>210</v>
      </c>
      <c r="J74" s="142" t="s">
        <v>210</v>
      </c>
      <c r="K74" s="142" t="s">
        <v>210</v>
      </c>
      <c r="L74" s="142">
        <v>1</v>
      </c>
      <c r="M74" s="142" t="str">
        <f t="shared" ca="1" si="14"/>
        <v>Aucune case cochée</v>
      </c>
      <c r="N74" s="142" t="str">
        <f t="shared" ca="1" si="12"/>
        <v>Aucune case cochée</v>
      </c>
      <c r="O74" s="47">
        <v>0</v>
      </c>
      <c r="P74" s="142">
        <f t="shared" si="10"/>
        <v>0</v>
      </c>
      <c r="Q74" s="142">
        <f t="shared" ca="1" si="15"/>
        <v>3</v>
      </c>
      <c r="R74" s="142">
        <f t="shared" si="11"/>
        <v>3</v>
      </c>
      <c r="S74" s="218"/>
      <c r="T74" s="218"/>
      <c r="U74" s="219"/>
      <c r="V74" s="220"/>
      <c r="W74" s="218"/>
      <c r="X74" s="220"/>
      <c r="Y74" s="217"/>
      <c r="Z74" s="17"/>
    </row>
    <row r="75" spans="1:26" ht="32.1" customHeight="1" x14ac:dyDescent="0.2">
      <c r="A75" s="44" t="s">
        <v>659</v>
      </c>
      <c r="B75" s="44" t="s">
        <v>666</v>
      </c>
      <c r="C75" s="44" t="s">
        <v>667</v>
      </c>
      <c r="D75" s="44" t="s">
        <v>153</v>
      </c>
      <c r="E75" s="45">
        <f t="shared" si="13"/>
        <v>16</v>
      </c>
      <c r="F75" s="142" t="s">
        <v>656</v>
      </c>
      <c r="G75" s="142" t="s">
        <v>650</v>
      </c>
      <c r="H75" s="142" t="s">
        <v>650</v>
      </c>
      <c r="I75" s="142" t="s">
        <v>210</v>
      </c>
      <c r="J75" s="142" t="s">
        <v>210</v>
      </c>
      <c r="K75" s="142" t="s">
        <v>210</v>
      </c>
      <c r="L75" s="142">
        <v>1</v>
      </c>
      <c r="M75" s="142" t="str">
        <f t="shared" ca="1" si="14"/>
        <v>Aucune case cochée</v>
      </c>
      <c r="N75" s="142" t="str">
        <f t="shared" ca="1" si="12"/>
        <v>Aucune case cochée</v>
      </c>
      <c r="O75" s="47">
        <v>0</v>
      </c>
      <c r="P75" s="142">
        <f t="shared" si="10"/>
        <v>0</v>
      </c>
      <c r="Q75" s="142">
        <f t="shared" ca="1" si="15"/>
        <v>3</v>
      </c>
      <c r="R75" s="142">
        <f t="shared" si="11"/>
        <v>3</v>
      </c>
      <c r="S75" s="218"/>
      <c r="T75" s="218"/>
      <c r="U75" s="219"/>
      <c r="V75" s="220"/>
      <c r="W75" s="218"/>
      <c r="X75" s="220"/>
      <c r="Y75" s="217"/>
      <c r="Z75" s="17"/>
    </row>
    <row r="76" spans="1:26" ht="32.1" customHeight="1" x14ac:dyDescent="0.2">
      <c r="A76" s="44" t="s">
        <v>659</v>
      </c>
      <c r="B76" s="44" t="s">
        <v>666</v>
      </c>
      <c r="C76" s="44" t="s">
        <v>667</v>
      </c>
      <c r="D76" s="44" t="s">
        <v>154</v>
      </c>
      <c r="E76" s="45">
        <f t="shared" si="13"/>
        <v>18</v>
      </c>
      <c r="F76" s="142" t="s">
        <v>649</v>
      </c>
      <c r="G76" s="142" t="s">
        <v>650</v>
      </c>
      <c r="H76" s="142" t="s">
        <v>651</v>
      </c>
      <c r="I76" s="142" t="s">
        <v>210</v>
      </c>
      <c r="J76" s="142" t="s">
        <v>210</v>
      </c>
      <c r="K76" s="142" t="s">
        <v>210</v>
      </c>
      <c r="L76" s="142">
        <v>2</v>
      </c>
      <c r="M76" s="142" t="str">
        <f t="shared" ca="1" si="14"/>
        <v>Aucune case cochée</v>
      </c>
      <c r="N76" s="142" t="str">
        <f t="shared" ca="1" si="12"/>
        <v>Aucune case cochée</v>
      </c>
      <c r="O76" s="47">
        <v>1</v>
      </c>
      <c r="P76" s="142">
        <f t="shared" si="10"/>
        <v>2</v>
      </c>
      <c r="Q76" s="142">
        <f t="shared" ca="1" si="15"/>
        <v>2</v>
      </c>
      <c r="R76" s="142">
        <f t="shared" si="11"/>
        <v>2</v>
      </c>
      <c r="S76" s="218"/>
      <c r="T76" s="218"/>
      <c r="U76" s="219"/>
      <c r="V76" s="220"/>
      <c r="W76" s="218"/>
      <c r="X76" s="220"/>
      <c r="Y76" s="217"/>
      <c r="Z76" s="17"/>
    </row>
    <row r="77" spans="1:26" ht="32.1" customHeight="1" x14ac:dyDescent="0.2">
      <c r="A77" s="44" t="s">
        <v>659</v>
      </c>
      <c r="B77" s="44" t="s">
        <v>666</v>
      </c>
      <c r="C77" s="44" t="s">
        <v>667</v>
      </c>
      <c r="D77" s="44" t="s">
        <v>155</v>
      </c>
      <c r="E77" s="45">
        <f t="shared" si="13"/>
        <v>20</v>
      </c>
      <c r="F77" s="142" t="s">
        <v>649</v>
      </c>
      <c r="G77" s="142" t="s">
        <v>650</v>
      </c>
      <c r="H77" s="142" t="s">
        <v>650</v>
      </c>
      <c r="I77" s="142" t="s">
        <v>210</v>
      </c>
      <c r="J77" s="142" t="s">
        <v>210</v>
      </c>
      <c r="K77" s="142" t="s">
        <v>210</v>
      </c>
      <c r="L77" s="142">
        <v>2</v>
      </c>
      <c r="M77" s="142" t="str">
        <f t="shared" ca="1" si="14"/>
        <v>Aucune case cochée</v>
      </c>
      <c r="N77" s="142" t="str">
        <f t="shared" ca="1" si="12"/>
        <v>Aucune case cochée</v>
      </c>
      <c r="O77" s="47">
        <v>1</v>
      </c>
      <c r="P77" s="142">
        <f t="shared" si="10"/>
        <v>2</v>
      </c>
      <c r="Q77" s="142">
        <f t="shared" ca="1" si="15"/>
        <v>2</v>
      </c>
      <c r="R77" s="142">
        <f t="shared" si="11"/>
        <v>2</v>
      </c>
      <c r="S77" s="218"/>
      <c r="T77" s="218"/>
      <c r="U77" s="219"/>
      <c r="V77" s="220"/>
      <c r="W77" s="218"/>
      <c r="X77" s="220"/>
      <c r="Y77" s="217"/>
      <c r="Z77" s="17"/>
    </row>
    <row r="78" spans="1:26" ht="32.1" customHeight="1" x14ac:dyDescent="0.2">
      <c r="A78" s="44" t="s">
        <v>659</v>
      </c>
      <c r="B78" s="44" t="s">
        <v>666</v>
      </c>
      <c r="C78" s="44" t="s">
        <v>667</v>
      </c>
      <c r="D78" s="44" t="s">
        <v>156</v>
      </c>
      <c r="E78" s="45">
        <f t="shared" si="13"/>
        <v>22</v>
      </c>
      <c r="F78" s="142" t="s">
        <v>649</v>
      </c>
      <c r="G78" s="142" t="s">
        <v>650</v>
      </c>
      <c r="H78" s="142" t="s">
        <v>650</v>
      </c>
      <c r="I78" s="142" t="s">
        <v>210</v>
      </c>
      <c r="J78" s="142" t="s">
        <v>210</v>
      </c>
      <c r="K78" s="142" t="s">
        <v>210</v>
      </c>
      <c r="L78" s="142">
        <v>2</v>
      </c>
      <c r="M78" s="142" t="str">
        <f t="shared" ca="1" si="14"/>
        <v>Aucune case cochée</v>
      </c>
      <c r="N78" s="142" t="str">
        <f t="shared" ca="1" si="12"/>
        <v>Aucune case cochée</v>
      </c>
      <c r="O78" s="47">
        <v>1</v>
      </c>
      <c r="P78" s="142">
        <f t="shared" si="10"/>
        <v>2</v>
      </c>
      <c r="Q78" s="142">
        <f t="shared" ca="1" si="15"/>
        <v>2</v>
      </c>
      <c r="R78" s="142">
        <f t="shared" si="11"/>
        <v>2</v>
      </c>
      <c r="S78" s="218"/>
      <c r="T78" s="218"/>
      <c r="U78" s="219"/>
      <c r="V78" s="220"/>
      <c r="W78" s="218"/>
      <c r="X78" s="220"/>
      <c r="Y78" s="217"/>
      <c r="Z78" s="17"/>
    </row>
    <row r="79" spans="1:26" ht="32.1" customHeight="1" x14ac:dyDescent="0.2">
      <c r="A79" s="44" t="s">
        <v>659</v>
      </c>
      <c r="B79" s="44" t="s">
        <v>666</v>
      </c>
      <c r="C79" s="44" t="s">
        <v>667</v>
      </c>
      <c r="D79" s="44" t="s">
        <v>157</v>
      </c>
      <c r="E79" s="45">
        <f t="shared" si="13"/>
        <v>24</v>
      </c>
      <c r="F79" s="142" t="s">
        <v>649</v>
      </c>
      <c r="G79" s="142" t="s">
        <v>650</v>
      </c>
      <c r="H79" s="142" t="s">
        <v>651</v>
      </c>
      <c r="I79" s="142" t="s">
        <v>210</v>
      </c>
      <c r="J79" s="142" t="s">
        <v>210</v>
      </c>
      <c r="K79" s="142" t="s">
        <v>210</v>
      </c>
      <c r="L79" s="142">
        <v>1</v>
      </c>
      <c r="M79" s="142" t="str">
        <f t="shared" ca="1" si="14"/>
        <v>Aucune case cochée</v>
      </c>
      <c r="N79" s="142" t="str">
        <f t="shared" ca="1" si="12"/>
        <v>Aucune case cochée</v>
      </c>
      <c r="O79" s="47">
        <v>1</v>
      </c>
      <c r="P79" s="142">
        <f t="shared" si="10"/>
        <v>1</v>
      </c>
      <c r="Q79" s="142">
        <f t="shared" ca="1" si="15"/>
        <v>1</v>
      </c>
      <c r="R79" s="142">
        <f t="shared" si="11"/>
        <v>1</v>
      </c>
      <c r="S79" s="218"/>
      <c r="T79" s="218"/>
      <c r="U79" s="219"/>
      <c r="V79" s="220"/>
      <c r="W79" s="218"/>
      <c r="X79" s="220"/>
      <c r="Y79" s="217"/>
      <c r="Z79" s="17"/>
    </row>
    <row r="80" spans="1:26" ht="32.1" customHeight="1" x14ac:dyDescent="0.2">
      <c r="A80" s="44" t="s">
        <v>659</v>
      </c>
      <c r="B80" s="44" t="s">
        <v>666</v>
      </c>
      <c r="C80" s="44" t="s">
        <v>667</v>
      </c>
      <c r="D80" s="44" t="s">
        <v>158</v>
      </c>
      <c r="E80" s="45">
        <f t="shared" si="13"/>
        <v>26</v>
      </c>
      <c r="F80" s="142" t="s">
        <v>649</v>
      </c>
      <c r="G80" s="142" t="s">
        <v>650</v>
      </c>
      <c r="H80" s="142" t="s">
        <v>651</v>
      </c>
      <c r="I80" s="142" t="s">
        <v>210</v>
      </c>
      <c r="J80" s="142" t="s">
        <v>210</v>
      </c>
      <c r="K80" s="142" t="s">
        <v>210</v>
      </c>
      <c r="L80" s="142">
        <v>1</v>
      </c>
      <c r="M80" s="142" t="str">
        <f t="shared" ca="1" si="14"/>
        <v>Aucune case cochée</v>
      </c>
      <c r="N80" s="142" t="str">
        <f t="shared" ca="1" si="12"/>
        <v>Aucune case cochée</v>
      </c>
      <c r="O80" s="47">
        <v>1</v>
      </c>
      <c r="P80" s="142">
        <f t="shared" si="10"/>
        <v>1</v>
      </c>
      <c r="Q80" s="142">
        <f t="shared" ca="1" si="15"/>
        <v>1</v>
      </c>
      <c r="R80" s="142">
        <f t="shared" si="11"/>
        <v>1</v>
      </c>
      <c r="S80" s="218"/>
      <c r="T80" s="218"/>
      <c r="U80" s="219"/>
      <c r="V80" s="220"/>
      <c r="W80" s="218"/>
      <c r="X80" s="220"/>
      <c r="Y80" s="217"/>
      <c r="Z80" s="17"/>
    </row>
    <row r="81" spans="1:26" ht="32.1" customHeight="1" x14ac:dyDescent="0.2">
      <c r="A81" s="44" t="s">
        <v>659</v>
      </c>
      <c r="B81" s="44" t="s">
        <v>666</v>
      </c>
      <c r="C81" s="44" t="s">
        <v>667</v>
      </c>
      <c r="D81" s="44" t="s">
        <v>159</v>
      </c>
      <c r="E81" s="45">
        <f t="shared" si="13"/>
        <v>28</v>
      </c>
      <c r="F81" s="142" t="s">
        <v>649</v>
      </c>
      <c r="G81" s="142" t="s">
        <v>650</v>
      </c>
      <c r="H81" s="142" t="s">
        <v>651</v>
      </c>
      <c r="I81" s="142" t="s">
        <v>210</v>
      </c>
      <c r="J81" s="142" t="s">
        <v>210</v>
      </c>
      <c r="K81" s="142" t="s">
        <v>210</v>
      </c>
      <c r="L81" s="142">
        <v>1</v>
      </c>
      <c r="M81" s="142" t="str">
        <f t="shared" ca="1" si="14"/>
        <v>Aucune case cochée</v>
      </c>
      <c r="N81" s="142" t="str">
        <f t="shared" ca="1" si="12"/>
        <v>Aucune case cochée</v>
      </c>
      <c r="O81" s="47">
        <v>1</v>
      </c>
      <c r="P81" s="142">
        <f t="shared" si="10"/>
        <v>1</v>
      </c>
      <c r="Q81" s="142">
        <f t="shared" ca="1" si="15"/>
        <v>1</v>
      </c>
      <c r="R81" s="142">
        <f t="shared" si="11"/>
        <v>1</v>
      </c>
      <c r="S81" s="218"/>
      <c r="T81" s="218"/>
      <c r="U81" s="219"/>
      <c r="V81" s="220"/>
      <c r="W81" s="218"/>
      <c r="X81" s="220"/>
      <c r="Y81" s="217"/>
      <c r="Z81" s="17"/>
    </row>
    <row r="82" spans="1:26" ht="32.1" customHeight="1" x14ac:dyDescent="0.2">
      <c r="A82" s="44" t="s">
        <v>659</v>
      </c>
      <c r="B82" s="44" t="s">
        <v>666</v>
      </c>
      <c r="C82" s="44" t="s">
        <v>667</v>
      </c>
      <c r="D82" s="44" t="s">
        <v>160</v>
      </c>
      <c r="E82" s="45">
        <f t="shared" si="13"/>
        <v>30</v>
      </c>
      <c r="F82" s="142" t="s">
        <v>649</v>
      </c>
      <c r="G82" s="142" t="s">
        <v>650</v>
      </c>
      <c r="H82" s="142" t="s">
        <v>651</v>
      </c>
      <c r="I82" s="142" t="s">
        <v>210</v>
      </c>
      <c r="J82" s="142" t="s">
        <v>210</v>
      </c>
      <c r="K82" s="142" t="s">
        <v>210</v>
      </c>
      <c r="L82" s="142">
        <v>1</v>
      </c>
      <c r="M82" s="142" t="str">
        <f t="shared" ca="1" si="14"/>
        <v>Aucune case cochée</v>
      </c>
      <c r="N82" s="142" t="str">
        <f t="shared" ca="1" si="12"/>
        <v>Aucune case cochée</v>
      </c>
      <c r="O82" s="47">
        <v>1</v>
      </c>
      <c r="P82" s="142">
        <f t="shared" si="10"/>
        <v>1</v>
      </c>
      <c r="Q82" s="142">
        <f t="shared" ca="1" si="15"/>
        <v>1</v>
      </c>
      <c r="R82" s="142">
        <f t="shared" si="11"/>
        <v>1</v>
      </c>
      <c r="S82" s="218"/>
      <c r="T82" s="218"/>
      <c r="U82" s="219"/>
      <c r="V82" s="220"/>
      <c r="W82" s="218"/>
      <c r="X82" s="220"/>
      <c r="Y82" s="217"/>
      <c r="Z82" s="17"/>
    </row>
    <row r="83" spans="1:26" ht="32.1" customHeight="1" x14ac:dyDescent="0.2">
      <c r="A83" s="44" t="s">
        <v>659</v>
      </c>
      <c r="B83" s="44" t="s">
        <v>666</v>
      </c>
      <c r="C83" s="44" t="s">
        <v>668</v>
      </c>
      <c r="D83" s="44" t="s">
        <v>162</v>
      </c>
      <c r="E83" s="45">
        <f t="shared" si="13"/>
        <v>33</v>
      </c>
      <c r="F83" s="142" t="s">
        <v>649</v>
      </c>
      <c r="G83" s="142" t="s">
        <v>650</v>
      </c>
      <c r="H83" s="142" t="s">
        <v>650</v>
      </c>
      <c r="I83" s="142" t="s">
        <v>650</v>
      </c>
      <c r="J83" s="142" t="s">
        <v>651</v>
      </c>
      <c r="K83" s="142" t="s">
        <v>651</v>
      </c>
      <c r="L83" s="142">
        <v>2</v>
      </c>
      <c r="M83" s="142" t="str">
        <f t="shared" ca="1" si="14"/>
        <v>Aucune case cochée</v>
      </c>
      <c r="N83" s="142" t="str">
        <f t="shared" ca="1" si="12"/>
        <v>Aucune case cochée</v>
      </c>
      <c r="O83" s="47">
        <v>1</v>
      </c>
      <c r="P83" s="142">
        <f t="shared" si="10"/>
        <v>2</v>
      </c>
      <c r="Q83" s="142">
        <f t="shared" ca="1" si="15"/>
        <v>2</v>
      </c>
      <c r="R83" s="142">
        <f t="shared" si="11"/>
        <v>2</v>
      </c>
      <c r="S83" s="218">
        <f>SUM(P83:P84)</f>
        <v>4</v>
      </c>
      <c r="T83" s="218">
        <f>SUM(R83:R84)</f>
        <v>4</v>
      </c>
      <c r="U83" s="219">
        <f>+S83/T83</f>
        <v>1</v>
      </c>
      <c r="V83" s="220">
        <v>0.05</v>
      </c>
      <c r="W83" s="218"/>
      <c r="X83" s="220"/>
      <c r="Y83" s="217"/>
      <c r="Z83" s="17"/>
    </row>
    <row r="84" spans="1:26" ht="32.1" customHeight="1" x14ac:dyDescent="0.2">
      <c r="A84" s="44" t="s">
        <v>659</v>
      </c>
      <c r="B84" s="44" t="s">
        <v>666</v>
      </c>
      <c r="C84" s="44" t="s">
        <v>668</v>
      </c>
      <c r="D84" s="44" t="s">
        <v>163</v>
      </c>
      <c r="E84" s="45">
        <f t="shared" si="13"/>
        <v>35</v>
      </c>
      <c r="F84" s="142" t="s">
        <v>649</v>
      </c>
      <c r="G84" s="142" t="s">
        <v>650</v>
      </c>
      <c r="H84" s="142" t="s">
        <v>651</v>
      </c>
      <c r="I84" s="142" t="s">
        <v>210</v>
      </c>
      <c r="J84" s="142" t="s">
        <v>210</v>
      </c>
      <c r="K84" s="142" t="s">
        <v>210</v>
      </c>
      <c r="L84" s="142">
        <v>2</v>
      </c>
      <c r="M84" s="142" t="str">
        <f t="shared" ca="1" si="14"/>
        <v>Aucune case cochée</v>
      </c>
      <c r="N84" s="142" t="str">
        <f t="shared" ca="1" si="12"/>
        <v>Aucune case cochée</v>
      </c>
      <c r="O84" s="47">
        <v>1</v>
      </c>
      <c r="P84" s="142">
        <f t="shared" si="10"/>
        <v>2</v>
      </c>
      <c r="Q84" s="142">
        <f t="shared" ca="1" si="15"/>
        <v>2</v>
      </c>
      <c r="R84" s="142">
        <f t="shared" si="11"/>
        <v>2</v>
      </c>
      <c r="S84" s="218"/>
      <c r="T84" s="218"/>
      <c r="U84" s="219"/>
      <c r="V84" s="220"/>
      <c r="W84" s="218"/>
      <c r="X84" s="220"/>
      <c r="Y84" s="217"/>
      <c r="Z84" s="17"/>
    </row>
    <row r="85" spans="1:26" s="2" customFormat="1" ht="32.1" customHeight="1" x14ac:dyDescent="0.3">
      <c r="A85" s="44" t="s">
        <v>669</v>
      </c>
      <c r="B85" s="44" t="s">
        <v>670</v>
      </c>
      <c r="C85" s="44" t="s">
        <v>671</v>
      </c>
      <c r="D85" s="44" t="s">
        <v>166</v>
      </c>
      <c r="E85" s="45">
        <f t="shared" si="13"/>
        <v>10</v>
      </c>
      <c r="F85" s="142" t="s">
        <v>649</v>
      </c>
      <c r="G85" s="142" t="s">
        <v>650</v>
      </c>
      <c r="H85" s="142" t="s">
        <v>650</v>
      </c>
      <c r="I85" s="142" t="s">
        <v>650</v>
      </c>
      <c r="J85" s="142" t="s">
        <v>650</v>
      </c>
      <c r="K85" s="142" t="s">
        <v>650</v>
      </c>
      <c r="L85" s="142">
        <v>2</v>
      </c>
      <c r="M85" s="142" t="str">
        <f t="shared" ca="1" si="14"/>
        <v>Aucune case cochée</v>
      </c>
      <c r="N85" s="142" t="str">
        <f t="shared" ca="1" si="12"/>
        <v>Aucune case cochée</v>
      </c>
      <c r="O85" s="47">
        <v>1</v>
      </c>
      <c r="P85" s="142">
        <f t="shared" si="10"/>
        <v>2</v>
      </c>
      <c r="Q85" s="142">
        <f t="shared" ca="1" si="15"/>
        <v>2</v>
      </c>
      <c r="R85" s="142">
        <f t="shared" si="11"/>
        <v>2</v>
      </c>
      <c r="S85" s="218">
        <f>SUM(P85:P92)</f>
        <v>10</v>
      </c>
      <c r="T85" s="218">
        <f>SUM(R85:R92)</f>
        <v>16</v>
      </c>
      <c r="U85" s="219">
        <f>+S85/T85</f>
        <v>0.625</v>
      </c>
      <c r="V85" s="220">
        <v>0.4</v>
      </c>
      <c r="W85" s="222">
        <f>U85*V85+U93*V93+U99*V99</f>
        <v>0.58000000000000007</v>
      </c>
      <c r="X85" s="220">
        <v>0.02</v>
      </c>
      <c r="Y85" s="217"/>
      <c r="Z85" s="18"/>
    </row>
    <row r="86" spans="1:26" ht="32.1" customHeight="1" x14ac:dyDescent="0.2">
      <c r="A86" s="44" t="s">
        <v>669</v>
      </c>
      <c r="B86" s="44" t="s">
        <v>670</v>
      </c>
      <c r="C86" s="44" t="s">
        <v>671</v>
      </c>
      <c r="D86" s="44" t="s">
        <v>167</v>
      </c>
      <c r="E86" s="45">
        <f t="shared" si="13"/>
        <v>12</v>
      </c>
      <c r="F86" s="142" t="s">
        <v>649</v>
      </c>
      <c r="G86" s="142" t="s">
        <v>650</v>
      </c>
      <c r="H86" s="142" t="s">
        <v>650</v>
      </c>
      <c r="I86" s="142" t="s">
        <v>650</v>
      </c>
      <c r="J86" s="142" t="s">
        <v>651</v>
      </c>
      <c r="K86" s="142" t="s">
        <v>210</v>
      </c>
      <c r="L86" s="142">
        <v>2</v>
      </c>
      <c r="M86" s="142" t="str">
        <f t="shared" ca="1" si="14"/>
        <v>Aucune case cochée</v>
      </c>
      <c r="N86" s="142" t="str">
        <f t="shared" ca="1" si="12"/>
        <v>Aucune case cochée</v>
      </c>
      <c r="O86" s="47">
        <v>1</v>
      </c>
      <c r="P86" s="142">
        <f t="shared" si="10"/>
        <v>2</v>
      </c>
      <c r="Q86" s="142">
        <f t="shared" ca="1" si="15"/>
        <v>2</v>
      </c>
      <c r="R86" s="142">
        <f t="shared" si="11"/>
        <v>2</v>
      </c>
      <c r="S86" s="218"/>
      <c r="T86" s="218"/>
      <c r="U86" s="219"/>
      <c r="V86" s="220"/>
      <c r="W86" s="218"/>
      <c r="X86" s="220"/>
      <c r="Y86" s="217"/>
      <c r="Z86" s="17"/>
    </row>
    <row r="87" spans="1:26" ht="32.1" customHeight="1" x14ac:dyDescent="0.2">
      <c r="A87" s="44" t="s">
        <v>669</v>
      </c>
      <c r="B87" s="44" t="s">
        <v>670</v>
      </c>
      <c r="C87" s="44" t="s">
        <v>671</v>
      </c>
      <c r="D87" s="44" t="s">
        <v>168</v>
      </c>
      <c r="E87" s="45">
        <f t="shared" si="13"/>
        <v>14</v>
      </c>
      <c r="F87" s="142" t="s">
        <v>649</v>
      </c>
      <c r="G87" s="142" t="s">
        <v>650</v>
      </c>
      <c r="H87" s="142" t="s">
        <v>650</v>
      </c>
      <c r="I87" s="142" t="s">
        <v>650</v>
      </c>
      <c r="J87" s="142" t="s">
        <v>651</v>
      </c>
      <c r="K87" s="142" t="s">
        <v>210</v>
      </c>
      <c r="L87" s="142">
        <v>1</v>
      </c>
      <c r="M87" s="142" t="str">
        <f t="shared" ca="1" si="14"/>
        <v>Aucune case cochée</v>
      </c>
      <c r="N87" s="142" t="str">
        <f t="shared" ca="1" si="12"/>
        <v>Aucune case cochée</v>
      </c>
      <c r="O87" s="47">
        <v>1</v>
      </c>
      <c r="P87" s="142">
        <f t="shared" si="10"/>
        <v>1</v>
      </c>
      <c r="Q87" s="142">
        <f t="shared" ca="1" si="15"/>
        <v>1</v>
      </c>
      <c r="R87" s="142">
        <f t="shared" si="11"/>
        <v>1</v>
      </c>
      <c r="S87" s="218"/>
      <c r="T87" s="218"/>
      <c r="U87" s="219"/>
      <c r="V87" s="220"/>
      <c r="W87" s="218"/>
      <c r="X87" s="220"/>
      <c r="Y87" s="217"/>
      <c r="Z87" s="17"/>
    </row>
    <row r="88" spans="1:26" ht="32.1" customHeight="1" x14ac:dyDescent="0.2">
      <c r="A88" s="44" t="s">
        <v>669</v>
      </c>
      <c r="B88" s="44" t="s">
        <v>670</v>
      </c>
      <c r="C88" s="44" t="s">
        <v>671</v>
      </c>
      <c r="D88" s="44" t="s">
        <v>169</v>
      </c>
      <c r="E88" s="45">
        <f t="shared" si="13"/>
        <v>16</v>
      </c>
      <c r="F88" s="142" t="s">
        <v>649</v>
      </c>
      <c r="G88" s="142" t="s">
        <v>650</v>
      </c>
      <c r="H88" s="142" t="s">
        <v>650</v>
      </c>
      <c r="I88" s="142" t="s">
        <v>650</v>
      </c>
      <c r="J88" s="142" t="s">
        <v>650</v>
      </c>
      <c r="K88" s="142" t="s">
        <v>650</v>
      </c>
      <c r="L88" s="142">
        <v>3</v>
      </c>
      <c r="M88" s="142" t="str">
        <f t="shared" ca="1" si="14"/>
        <v>Aucune case cochée</v>
      </c>
      <c r="N88" s="142" t="str">
        <f t="shared" ca="1" si="12"/>
        <v>Aucune case cochée</v>
      </c>
      <c r="O88" s="47">
        <v>1</v>
      </c>
      <c r="P88" s="142">
        <f t="shared" si="10"/>
        <v>3</v>
      </c>
      <c r="Q88" s="142">
        <f t="shared" ca="1" si="15"/>
        <v>3</v>
      </c>
      <c r="R88" s="142">
        <f t="shared" si="11"/>
        <v>3</v>
      </c>
      <c r="S88" s="218"/>
      <c r="T88" s="218"/>
      <c r="U88" s="219"/>
      <c r="V88" s="220"/>
      <c r="W88" s="218"/>
      <c r="X88" s="220"/>
      <c r="Y88" s="217"/>
      <c r="Z88" s="17"/>
    </row>
    <row r="89" spans="1:26" ht="32.1" customHeight="1" x14ac:dyDescent="0.2">
      <c r="A89" s="44" t="s">
        <v>669</v>
      </c>
      <c r="B89" s="44" t="s">
        <v>670</v>
      </c>
      <c r="C89" s="44" t="s">
        <v>671</v>
      </c>
      <c r="D89" s="44" t="s">
        <v>170</v>
      </c>
      <c r="E89" s="45">
        <f t="shared" si="13"/>
        <v>18</v>
      </c>
      <c r="F89" s="142" t="s">
        <v>656</v>
      </c>
      <c r="G89" s="142" t="s">
        <v>650</v>
      </c>
      <c r="H89" s="142" t="s">
        <v>650</v>
      </c>
      <c r="I89" s="142" t="s">
        <v>650</v>
      </c>
      <c r="J89" s="142" t="s">
        <v>650</v>
      </c>
      <c r="K89" s="142" t="s">
        <v>650</v>
      </c>
      <c r="L89" s="142">
        <v>1</v>
      </c>
      <c r="M89" s="142" t="str">
        <f t="shared" ca="1" si="14"/>
        <v>Aucune case cochée</v>
      </c>
      <c r="N89" s="142" t="str">
        <f t="shared" ca="1" si="12"/>
        <v>Aucune case cochée</v>
      </c>
      <c r="O89" s="47">
        <v>0</v>
      </c>
      <c r="P89" s="142">
        <f t="shared" si="10"/>
        <v>0</v>
      </c>
      <c r="Q89" s="142">
        <f t="shared" ca="1" si="15"/>
        <v>3</v>
      </c>
      <c r="R89" s="142">
        <f t="shared" si="11"/>
        <v>3</v>
      </c>
      <c r="S89" s="218"/>
      <c r="T89" s="218"/>
      <c r="U89" s="219"/>
      <c r="V89" s="220"/>
      <c r="W89" s="218"/>
      <c r="X89" s="220"/>
      <c r="Y89" s="217"/>
      <c r="Z89" s="17"/>
    </row>
    <row r="90" spans="1:26" ht="32.1" customHeight="1" x14ac:dyDescent="0.2">
      <c r="A90" s="44" t="s">
        <v>669</v>
      </c>
      <c r="B90" s="44" t="s">
        <v>670</v>
      </c>
      <c r="C90" s="44" t="s">
        <v>671</v>
      </c>
      <c r="D90" s="44" t="s">
        <v>672</v>
      </c>
      <c r="E90" s="45">
        <f t="shared" si="13"/>
        <v>20</v>
      </c>
      <c r="F90" s="142" t="s">
        <v>656</v>
      </c>
      <c r="G90" s="142" t="s">
        <v>650</v>
      </c>
      <c r="H90" s="142" t="s">
        <v>650</v>
      </c>
      <c r="I90" s="142" t="s">
        <v>650</v>
      </c>
      <c r="J90" s="142" t="s">
        <v>650</v>
      </c>
      <c r="K90" s="142" t="s">
        <v>650</v>
      </c>
      <c r="L90" s="142">
        <v>1</v>
      </c>
      <c r="M90" s="142" t="str">
        <f t="shared" ca="1" si="14"/>
        <v>Aucune case cochée</v>
      </c>
      <c r="N90" s="142" t="str">
        <f t="shared" ca="1" si="12"/>
        <v>Aucune case cochée</v>
      </c>
      <c r="O90" s="47">
        <v>0</v>
      </c>
      <c r="P90" s="142">
        <f t="shared" si="10"/>
        <v>0</v>
      </c>
      <c r="Q90" s="142">
        <f t="shared" ca="1" si="15"/>
        <v>3</v>
      </c>
      <c r="R90" s="142">
        <f t="shared" si="11"/>
        <v>3</v>
      </c>
      <c r="S90" s="218"/>
      <c r="T90" s="218"/>
      <c r="U90" s="219"/>
      <c r="V90" s="220"/>
      <c r="W90" s="218"/>
      <c r="X90" s="220"/>
      <c r="Y90" s="217"/>
      <c r="Z90" s="17"/>
    </row>
    <row r="91" spans="1:26" ht="32.1" customHeight="1" x14ac:dyDescent="0.2">
      <c r="A91" s="44" t="s">
        <v>669</v>
      </c>
      <c r="B91" s="44" t="s">
        <v>670</v>
      </c>
      <c r="C91" s="44" t="s">
        <v>671</v>
      </c>
      <c r="D91" s="44" t="s">
        <v>172</v>
      </c>
      <c r="E91" s="45">
        <f t="shared" si="13"/>
        <v>22</v>
      </c>
      <c r="F91" s="142" t="s">
        <v>649</v>
      </c>
      <c r="G91" s="142" t="s">
        <v>650</v>
      </c>
      <c r="H91" s="142" t="s">
        <v>650</v>
      </c>
      <c r="I91" s="142" t="s">
        <v>650</v>
      </c>
      <c r="J91" s="142" t="s">
        <v>650</v>
      </c>
      <c r="K91" s="142" t="s">
        <v>650</v>
      </c>
      <c r="L91" s="142">
        <v>1</v>
      </c>
      <c r="M91" s="142" t="str">
        <f t="shared" ca="1" si="14"/>
        <v>Aucune case cochée</v>
      </c>
      <c r="N91" s="142" t="str">
        <f t="shared" ca="1" si="12"/>
        <v>Aucune case cochée</v>
      </c>
      <c r="O91" s="47">
        <v>1</v>
      </c>
      <c r="P91" s="142">
        <f t="shared" ref="P91:P118" si="16">IF(O91="Non concerné",O91,O91*L91)</f>
        <v>1</v>
      </c>
      <c r="Q91" s="142">
        <f t="shared" ca="1" si="15"/>
        <v>1</v>
      </c>
      <c r="R91" s="142">
        <f t="shared" si="11"/>
        <v>1</v>
      </c>
      <c r="S91" s="218"/>
      <c r="T91" s="218"/>
      <c r="U91" s="219"/>
      <c r="V91" s="220"/>
      <c r="W91" s="218"/>
      <c r="X91" s="220"/>
      <c r="Y91" s="217"/>
      <c r="Z91" s="17"/>
    </row>
    <row r="92" spans="1:26" ht="32.1" customHeight="1" x14ac:dyDescent="0.2">
      <c r="A92" s="44" t="s">
        <v>669</v>
      </c>
      <c r="B92" s="44" t="s">
        <v>670</v>
      </c>
      <c r="C92" s="44" t="s">
        <v>671</v>
      </c>
      <c r="D92" s="44" t="s">
        <v>173</v>
      </c>
      <c r="E92" s="45">
        <f t="shared" si="13"/>
        <v>24</v>
      </c>
      <c r="F92" s="142" t="s">
        <v>649</v>
      </c>
      <c r="G92" s="142" t="s">
        <v>651</v>
      </c>
      <c r="H92" s="142" t="s">
        <v>651</v>
      </c>
      <c r="I92" s="142" t="s">
        <v>651</v>
      </c>
      <c r="J92" s="142" t="s">
        <v>651</v>
      </c>
      <c r="K92" s="142" t="s">
        <v>651</v>
      </c>
      <c r="L92" s="142">
        <v>1</v>
      </c>
      <c r="M92" s="142" t="str">
        <f t="shared" ca="1" si="14"/>
        <v>Aucune case cochée</v>
      </c>
      <c r="N92" s="142" t="str">
        <f t="shared" ca="1" si="12"/>
        <v>Aucune case cochée</v>
      </c>
      <c r="O92" s="47">
        <v>1</v>
      </c>
      <c r="P92" s="142">
        <f t="shared" si="16"/>
        <v>1</v>
      </c>
      <c r="Q92" s="142">
        <f t="shared" ca="1" si="15"/>
        <v>1</v>
      </c>
      <c r="R92" s="142">
        <f t="shared" si="11"/>
        <v>1</v>
      </c>
      <c r="S92" s="218"/>
      <c r="T92" s="218"/>
      <c r="U92" s="219"/>
      <c r="V92" s="220"/>
      <c r="W92" s="218"/>
      <c r="X92" s="220"/>
      <c r="Y92" s="217"/>
      <c r="Z92" s="17"/>
    </row>
    <row r="93" spans="1:26" ht="32.1" customHeight="1" x14ac:dyDescent="0.2">
      <c r="A93" s="44" t="s">
        <v>669</v>
      </c>
      <c r="B93" s="44" t="s">
        <v>670</v>
      </c>
      <c r="C93" s="44" t="s">
        <v>673</v>
      </c>
      <c r="D93" s="44" t="s">
        <v>175</v>
      </c>
      <c r="E93" s="45">
        <f t="shared" si="13"/>
        <v>27</v>
      </c>
      <c r="F93" s="142" t="s">
        <v>656</v>
      </c>
      <c r="G93" s="142" t="s">
        <v>650</v>
      </c>
      <c r="H93" s="142" t="s">
        <v>650</v>
      </c>
      <c r="I93" s="142" t="s">
        <v>650</v>
      </c>
      <c r="J93" s="142" t="s">
        <v>650</v>
      </c>
      <c r="K93" s="142" t="s">
        <v>650</v>
      </c>
      <c r="L93" s="142">
        <v>1</v>
      </c>
      <c r="M93" s="142" t="str">
        <f t="shared" ca="1" si="14"/>
        <v>Aucune case cochée</v>
      </c>
      <c r="N93" s="142" t="str">
        <f t="shared" ca="1" si="12"/>
        <v>Aucune case cochée</v>
      </c>
      <c r="O93" s="47">
        <v>0</v>
      </c>
      <c r="P93" s="142">
        <f t="shared" si="16"/>
        <v>0</v>
      </c>
      <c r="Q93" s="142">
        <f t="shared" ca="1" si="15"/>
        <v>3</v>
      </c>
      <c r="R93" s="142">
        <f t="shared" si="11"/>
        <v>3</v>
      </c>
      <c r="S93" s="218">
        <f>SUM(P93:P98)</f>
        <v>6</v>
      </c>
      <c r="T93" s="218">
        <f>SUM(R93:R98)</f>
        <v>12</v>
      </c>
      <c r="U93" s="219">
        <f>+S93/T93</f>
        <v>0.5</v>
      </c>
      <c r="V93" s="220">
        <v>0.3</v>
      </c>
      <c r="W93" s="218"/>
      <c r="X93" s="220"/>
      <c r="Y93" s="217"/>
      <c r="Z93" s="17"/>
    </row>
    <row r="94" spans="1:26" ht="32.1" customHeight="1" x14ac:dyDescent="0.2">
      <c r="A94" s="44" t="s">
        <v>669</v>
      </c>
      <c r="B94" s="44" t="s">
        <v>670</v>
      </c>
      <c r="C94" s="44" t="s">
        <v>673</v>
      </c>
      <c r="D94" s="44" t="s">
        <v>176</v>
      </c>
      <c r="E94" s="45">
        <f t="shared" si="13"/>
        <v>29</v>
      </c>
      <c r="F94" s="142" t="s">
        <v>656</v>
      </c>
      <c r="G94" s="142" t="s">
        <v>650</v>
      </c>
      <c r="H94" s="142" t="s">
        <v>650</v>
      </c>
      <c r="I94" s="142" t="s">
        <v>650</v>
      </c>
      <c r="J94" s="142" t="s">
        <v>650</v>
      </c>
      <c r="K94" s="142" t="s">
        <v>650</v>
      </c>
      <c r="L94" s="142">
        <v>1</v>
      </c>
      <c r="M94" s="142" t="str">
        <f t="shared" ca="1" si="14"/>
        <v>Aucune case cochée</v>
      </c>
      <c r="N94" s="142" t="str">
        <f t="shared" ca="1" si="12"/>
        <v>Aucune case cochée</v>
      </c>
      <c r="O94" s="47">
        <v>0</v>
      </c>
      <c r="P94" s="142">
        <f t="shared" si="16"/>
        <v>0</v>
      </c>
      <c r="Q94" s="142">
        <f t="shared" ca="1" si="15"/>
        <v>3</v>
      </c>
      <c r="R94" s="142">
        <f t="shared" si="11"/>
        <v>3</v>
      </c>
      <c r="S94" s="218"/>
      <c r="T94" s="218"/>
      <c r="U94" s="219"/>
      <c r="V94" s="220"/>
      <c r="W94" s="218"/>
      <c r="X94" s="220"/>
      <c r="Y94" s="217"/>
      <c r="Z94" s="17"/>
    </row>
    <row r="95" spans="1:26" ht="32.1" customHeight="1" x14ac:dyDescent="0.2">
      <c r="A95" s="44" t="s">
        <v>669</v>
      </c>
      <c r="B95" s="44" t="s">
        <v>670</v>
      </c>
      <c r="C95" s="44" t="s">
        <v>673</v>
      </c>
      <c r="D95" s="44" t="s">
        <v>177</v>
      </c>
      <c r="E95" s="45">
        <f t="shared" si="13"/>
        <v>31</v>
      </c>
      <c r="F95" s="142" t="s">
        <v>649</v>
      </c>
      <c r="G95" s="142" t="s">
        <v>650</v>
      </c>
      <c r="H95" s="142" t="s">
        <v>650</v>
      </c>
      <c r="I95" s="142" t="s">
        <v>650</v>
      </c>
      <c r="J95" s="142" t="s">
        <v>650</v>
      </c>
      <c r="K95" s="142" t="s">
        <v>650</v>
      </c>
      <c r="L95" s="142">
        <v>2</v>
      </c>
      <c r="M95" s="142" t="str">
        <f t="shared" ca="1" si="14"/>
        <v>Aucune case cochée</v>
      </c>
      <c r="N95" s="142" t="str">
        <f t="shared" ca="1" si="12"/>
        <v>Aucune case cochée</v>
      </c>
      <c r="O95" s="47">
        <v>1</v>
      </c>
      <c r="P95" s="142">
        <f t="shared" si="16"/>
        <v>2</v>
      </c>
      <c r="Q95" s="142">
        <f t="shared" ca="1" si="15"/>
        <v>2</v>
      </c>
      <c r="R95" s="142">
        <f t="shared" si="11"/>
        <v>2</v>
      </c>
      <c r="S95" s="218"/>
      <c r="T95" s="218"/>
      <c r="U95" s="219"/>
      <c r="V95" s="220"/>
      <c r="W95" s="218"/>
      <c r="X95" s="220"/>
      <c r="Y95" s="217"/>
      <c r="Z95" s="17"/>
    </row>
    <row r="96" spans="1:26" s="50" customFormat="1" ht="32.1" customHeight="1" x14ac:dyDescent="0.2">
      <c r="A96" s="44" t="s">
        <v>669</v>
      </c>
      <c r="B96" s="44" t="s">
        <v>670</v>
      </c>
      <c r="C96" s="44" t="s">
        <v>673</v>
      </c>
      <c r="D96" s="48" t="s">
        <v>178</v>
      </c>
      <c r="E96" s="45">
        <f t="shared" si="13"/>
        <v>33</v>
      </c>
      <c r="F96" s="143" t="s">
        <v>649</v>
      </c>
      <c r="G96" s="143" t="s">
        <v>650</v>
      </c>
      <c r="H96" s="143" t="s">
        <v>650</v>
      </c>
      <c r="I96" s="143" t="s">
        <v>650</v>
      </c>
      <c r="J96" s="143" t="s">
        <v>650</v>
      </c>
      <c r="K96" s="143" t="s">
        <v>650</v>
      </c>
      <c r="L96" s="143">
        <v>1</v>
      </c>
      <c r="M96" s="142" t="str">
        <f t="shared" ca="1" si="14"/>
        <v>Aucune case cochée</v>
      </c>
      <c r="N96" s="142" t="str">
        <f t="shared" ca="1" si="12"/>
        <v>Aucune case cochée</v>
      </c>
      <c r="O96" s="47">
        <v>1</v>
      </c>
      <c r="P96" s="142">
        <f t="shared" si="16"/>
        <v>1</v>
      </c>
      <c r="Q96" s="142">
        <f t="shared" ca="1" si="15"/>
        <v>1</v>
      </c>
      <c r="R96" s="142">
        <f t="shared" si="11"/>
        <v>1</v>
      </c>
      <c r="S96" s="218"/>
      <c r="T96" s="218"/>
      <c r="U96" s="219"/>
      <c r="V96" s="220"/>
      <c r="W96" s="218"/>
      <c r="X96" s="220"/>
      <c r="Y96" s="217"/>
      <c r="Z96" s="49"/>
    </row>
    <row r="97" spans="1:26" s="50" customFormat="1" ht="32.1" customHeight="1" x14ac:dyDescent="0.2">
      <c r="A97" s="44" t="s">
        <v>669</v>
      </c>
      <c r="B97" s="44" t="s">
        <v>670</v>
      </c>
      <c r="C97" s="44" t="s">
        <v>673</v>
      </c>
      <c r="D97" s="48" t="s">
        <v>179</v>
      </c>
      <c r="E97" s="45">
        <f t="shared" si="13"/>
        <v>35</v>
      </c>
      <c r="F97" s="143" t="s">
        <v>649</v>
      </c>
      <c r="G97" s="143" t="s">
        <v>651</v>
      </c>
      <c r="H97" s="143" t="s">
        <v>651</v>
      </c>
      <c r="I97" s="143" t="s">
        <v>210</v>
      </c>
      <c r="J97" s="143" t="s">
        <v>210</v>
      </c>
      <c r="K97" s="143" t="s">
        <v>210</v>
      </c>
      <c r="L97" s="143">
        <v>2</v>
      </c>
      <c r="M97" s="142" t="str">
        <f t="shared" ca="1" si="14"/>
        <v>Aucune case cochée</v>
      </c>
      <c r="N97" s="142" t="str">
        <f t="shared" ca="1" si="12"/>
        <v>Aucune case cochée</v>
      </c>
      <c r="O97" s="47">
        <v>1</v>
      </c>
      <c r="P97" s="142">
        <f t="shared" si="16"/>
        <v>2</v>
      </c>
      <c r="Q97" s="142">
        <f t="shared" ca="1" si="15"/>
        <v>2</v>
      </c>
      <c r="R97" s="142">
        <f t="shared" si="11"/>
        <v>2</v>
      </c>
      <c r="S97" s="218"/>
      <c r="T97" s="218"/>
      <c r="U97" s="219"/>
      <c r="V97" s="220"/>
      <c r="W97" s="218"/>
      <c r="X97" s="220"/>
      <c r="Y97" s="217"/>
      <c r="Z97" s="49"/>
    </row>
    <row r="98" spans="1:26" ht="32.1" customHeight="1" x14ac:dyDescent="0.2">
      <c r="A98" s="44" t="s">
        <v>669</v>
      </c>
      <c r="B98" s="44" t="s">
        <v>670</v>
      </c>
      <c r="C98" s="44" t="s">
        <v>673</v>
      </c>
      <c r="D98" s="44" t="s">
        <v>674</v>
      </c>
      <c r="E98" s="45">
        <f t="shared" si="13"/>
        <v>37</v>
      </c>
      <c r="F98" s="142" t="s">
        <v>649</v>
      </c>
      <c r="G98" s="142" t="s">
        <v>651</v>
      </c>
      <c r="H98" s="142" t="s">
        <v>651</v>
      </c>
      <c r="I98" s="142" t="s">
        <v>651</v>
      </c>
      <c r="J98" s="142" t="s">
        <v>651</v>
      </c>
      <c r="K98" s="142" t="s">
        <v>651</v>
      </c>
      <c r="L98" s="142">
        <v>1</v>
      </c>
      <c r="M98" s="142" t="str">
        <f t="shared" ca="1" si="14"/>
        <v>Aucune case cochée</v>
      </c>
      <c r="N98" s="142" t="str">
        <f t="shared" ca="1" si="12"/>
        <v>Aucune case cochée</v>
      </c>
      <c r="O98" s="47">
        <v>1</v>
      </c>
      <c r="P98" s="142">
        <f t="shared" si="16"/>
        <v>1</v>
      </c>
      <c r="Q98" s="142">
        <f t="shared" ca="1" si="15"/>
        <v>1</v>
      </c>
      <c r="R98" s="142">
        <f t="shared" si="11"/>
        <v>1</v>
      </c>
      <c r="S98" s="218"/>
      <c r="T98" s="218"/>
      <c r="U98" s="219"/>
      <c r="V98" s="220"/>
      <c r="W98" s="218"/>
      <c r="X98" s="220"/>
      <c r="Y98" s="217"/>
      <c r="Z98" s="17"/>
    </row>
    <row r="99" spans="1:26" ht="32.1" customHeight="1" x14ac:dyDescent="0.2">
      <c r="A99" s="44" t="s">
        <v>669</v>
      </c>
      <c r="B99" s="44" t="s">
        <v>670</v>
      </c>
      <c r="C99" s="44" t="s">
        <v>675</v>
      </c>
      <c r="D99" s="44" t="s">
        <v>182</v>
      </c>
      <c r="E99" s="45">
        <f t="shared" si="13"/>
        <v>40</v>
      </c>
      <c r="F99" s="142" t="s">
        <v>649</v>
      </c>
      <c r="G99" s="142" t="s">
        <v>650</v>
      </c>
      <c r="H99" s="142" t="s">
        <v>650</v>
      </c>
      <c r="I99" s="142" t="s">
        <v>650</v>
      </c>
      <c r="J99" s="142" t="s">
        <v>650</v>
      </c>
      <c r="K99" s="142" t="s">
        <v>650</v>
      </c>
      <c r="L99" s="142">
        <v>1</v>
      </c>
      <c r="M99" s="142" t="str">
        <f t="shared" ca="1" si="14"/>
        <v>Aucune case cochée</v>
      </c>
      <c r="N99" s="142" t="str">
        <f t="shared" ca="1" si="12"/>
        <v>Aucune case cochée</v>
      </c>
      <c r="O99" s="47">
        <v>1</v>
      </c>
      <c r="P99" s="142">
        <f t="shared" si="16"/>
        <v>1</v>
      </c>
      <c r="Q99" s="142">
        <f t="shared" ca="1" si="15"/>
        <v>1</v>
      </c>
      <c r="R99" s="142">
        <f t="shared" si="11"/>
        <v>1</v>
      </c>
      <c r="S99" s="218">
        <f>SUM(P99:P106)</f>
        <v>9</v>
      </c>
      <c r="T99" s="218">
        <f>SUM(R99:R106)</f>
        <v>15</v>
      </c>
      <c r="U99" s="219">
        <f>+S99/T99</f>
        <v>0.6</v>
      </c>
      <c r="V99" s="220">
        <v>0.3</v>
      </c>
      <c r="W99" s="218"/>
      <c r="X99" s="220"/>
      <c r="Y99" s="217"/>
      <c r="Z99" s="17"/>
    </row>
    <row r="100" spans="1:26" ht="32.1" customHeight="1" x14ac:dyDescent="0.2">
      <c r="A100" s="44" t="s">
        <v>669</v>
      </c>
      <c r="B100" s="44" t="s">
        <v>670</v>
      </c>
      <c r="C100" s="44" t="s">
        <v>675</v>
      </c>
      <c r="D100" s="44" t="s">
        <v>183</v>
      </c>
      <c r="E100" s="45">
        <f t="shared" si="13"/>
        <v>42</v>
      </c>
      <c r="F100" s="142" t="s">
        <v>656</v>
      </c>
      <c r="G100" s="142" t="s">
        <v>650</v>
      </c>
      <c r="H100" s="142" t="s">
        <v>650</v>
      </c>
      <c r="I100" s="142" t="s">
        <v>650</v>
      </c>
      <c r="J100" s="142" t="s">
        <v>650</v>
      </c>
      <c r="K100" s="142" t="s">
        <v>650</v>
      </c>
      <c r="L100" s="142">
        <v>1</v>
      </c>
      <c r="M100" s="142" t="str">
        <f t="shared" ca="1" si="14"/>
        <v>Aucune case cochée</v>
      </c>
      <c r="N100" s="142" t="str">
        <f t="shared" ca="1" si="12"/>
        <v>Aucune case cochée</v>
      </c>
      <c r="O100" s="47">
        <v>0</v>
      </c>
      <c r="P100" s="142">
        <f t="shared" si="16"/>
        <v>0</v>
      </c>
      <c r="Q100" s="142">
        <f t="shared" ca="1" si="15"/>
        <v>3</v>
      </c>
      <c r="R100" s="142">
        <f t="shared" si="11"/>
        <v>3</v>
      </c>
      <c r="S100" s="218"/>
      <c r="T100" s="218"/>
      <c r="U100" s="219"/>
      <c r="V100" s="220"/>
      <c r="W100" s="218"/>
      <c r="X100" s="220"/>
      <c r="Y100" s="217"/>
      <c r="Z100" s="17"/>
    </row>
    <row r="101" spans="1:26" ht="32.1" customHeight="1" x14ac:dyDescent="0.2">
      <c r="A101" s="44" t="s">
        <v>669</v>
      </c>
      <c r="B101" s="44" t="s">
        <v>670</v>
      </c>
      <c r="C101" s="44" t="s">
        <v>675</v>
      </c>
      <c r="D101" s="44" t="s">
        <v>184</v>
      </c>
      <c r="E101" s="45">
        <f t="shared" si="13"/>
        <v>44</v>
      </c>
      <c r="F101" s="142" t="s">
        <v>656</v>
      </c>
      <c r="G101" s="142" t="s">
        <v>650</v>
      </c>
      <c r="H101" s="142" t="s">
        <v>650</v>
      </c>
      <c r="I101" s="142" t="s">
        <v>650</v>
      </c>
      <c r="J101" s="142" t="s">
        <v>650</v>
      </c>
      <c r="K101" s="142" t="s">
        <v>650</v>
      </c>
      <c r="L101" s="142">
        <v>1</v>
      </c>
      <c r="M101" s="142" t="str">
        <f t="shared" ca="1" si="14"/>
        <v>Aucune case cochée</v>
      </c>
      <c r="N101" s="142" t="str">
        <f t="shared" ca="1" si="12"/>
        <v>Aucune case cochée</v>
      </c>
      <c r="O101" s="47">
        <v>0</v>
      </c>
      <c r="P101" s="142">
        <f t="shared" si="16"/>
        <v>0</v>
      </c>
      <c r="Q101" s="142">
        <f t="shared" ca="1" si="15"/>
        <v>3</v>
      </c>
      <c r="R101" s="142">
        <f t="shared" si="11"/>
        <v>3</v>
      </c>
      <c r="S101" s="218"/>
      <c r="T101" s="218"/>
      <c r="U101" s="219"/>
      <c r="V101" s="220"/>
      <c r="W101" s="218"/>
      <c r="X101" s="220"/>
      <c r="Y101" s="217"/>
      <c r="Z101" s="17"/>
    </row>
    <row r="102" spans="1:26" ht="32.1" customHeight="1" x14ac:dyDescent="0.2">
      <c r="A102" s="44" t="s">
        <v>669</v>
      </c>
      <c r="B102" s="44" t="s">
        <v>670</v>
      </c>
      <c r="C102" s="44" t="s">
        <v>675</v>
      </c>
      <c r="D102" s="44" t="s">
        <v>185</v>
      </c>
      <c r="E102" s="45">
        <f t="shared" si="13"/>
        <v>46</v>
      </c>
      <c r="F102" s="142" t="s">
        <v>649</v>
      </c>
      <c r="G102" s="142" t="s">
        <v>650</v>
      </c>
      <c r="H102" s="142" t="s">
        <v>651</v>
      </c>
      <c r="I102" s="142" t="s">
        <v>651</v>
      </c>
      <c r="J102" s="142" t="s">
        <v>210</v>
      </c>
      <c r="K102" s="142" t="s">
        <v>210</v>
      </c>
      <c r="L102" s="142">
        <v>1</v>
      </c>
      <c r="M102" s="142" t="str">
        <f t="shared" ca="1" si="14"/>
        <v>Aucune case cochée</v>
      </c>
      <c r="N102" s="142" t="str">
        <f t="shared" ca="1" si="12"/>
        <v>Aucune case cochée</v>
      </c>
      <c r="O102" s="47">
        <v>1</v>
      </c>
      <c r="P102" s="142">
        <f t="shared" si="16"/>
        <v>1</v>
      </c>
      <c r="Q102" s="142">
        <f t="shared" ca="1" si="15"/>
        <v>1</v>
      </c>
      <c r="R102" s="142">
        <f t="shared" si="11"/>
        <v>1</v>
      </c>
      <c r="S102" s="218"/>
      <c r="T102" s="218"/>
      <c r="U102" s="219"/>
      <c r="V102" s="220"/>
      <c r="W102" s="218"/>
      <c r="X102" s="220"/>
      <c r="Y102" s="217"/>
      <c r="Z102" s="17"/>
    </row>
    <row r="103" spans="1:26" ht="32.1" customHeight="1" x14ac:dyDescent="0.2">
      <c r="A103" s="44" t="s">
        <v>669</v>
      </c>
      <c r="B103" s="44" t="s">
        <v>670</v>
      </c>
      <c r="C103" s="44" t="s">
        <v>675</v>
      </c>
      <c r="D103" s="44" t="s">
        <v>186</v>
      </c>
      <c r="E103" s="45">
        <f t="shared" si="13"/>
        <v>48</v>
      </c>
      <c r="F103" s="142" t="s">
        <v>649</v>
      </c>
      <c r="G103" s="142" t="s">
        <v>650</v>
      </c>
      <c r="H103" s="142" t="s">
        <v>650</v>
      </c>
      <c r="I103" s="142" t="s">
        <v>650</v>
      </c>
      <c r="J103" s="142" t="s">
        <v>650</v>
      </c>
      <c r="K103" s="142" t="s">
        <v>650</v>
      </c>
      <c r="L103" s="142">
        <v>2</v>
      </c>
      <c r="M103" s="142" t="str">
        <f t="shared" ca="1" si="14"/>
        <v>Aucune case cochée</v>
      </c>
      <c r="N103" s="142" t="str">
        <f t="shared" ca="1" si="12"/>
        <v>Aucune case cochée</v>
      </c>
      <c r="O103" s="47">
        <v>1</v>
      </c>
      <c r="P103" s="142">
        <f t="shared" si="16"/>
        <v>2</v>
      </c>
      <c r="Q103" s="142">
        <f t="shared" ca="1" si="15"/>
        <v>2</v>
      </c>
      <c r="R103" s="142">
        <f t="shared" si="11"/>
        <v>2</v>
      </c>
      <c r="S103" s="218"/>
      <c r="T103" s="218"/>
      <c r="U103" s="219"/>
      <c r="V103" s="220"/>
      <c r="W103" s="218"/>
      <c r="X103" s="220"/>
      <c r="Y103" s="217"/>
      <c r="Z103" s="17"/>
    </row>
    <row r="104" spans="1:26" ht="32.1" customHeight="1" x14ac:dyDescent="0.2">
      <c r="A104" s="44" t="s">
        <v>669</v>
      </c>
      <c r="B104" s="44" t="s">
        <v>670</v>
      </c>
      <c r="C104" s="44" t="s">
        <v>675</v>
      </c>
      <c r="D104" s="44" t="s">
        <v>187</v>
      </c>
      <c r="E104" s="45">
        <f t="shared" si="13"/>
        <v>50</v>
      </c>
      <c r="F104" s="142" t="s">
        <v>649</v>
      </c>
      <c r="G104" s="142" t="s">
        <v>650</v>
      </c>
      <c r="H104" s="142" t="s">
        <v>650</v>
      </c>
      <c r="I104" s="142" t="s">
        <v>650</v>
      </c>
      <c r="J104" s="142" t="s">
        <v>650</v>
      </c>
      <c r="K104" s="142" t="s">
        <v>650</v>
      </c>
      <c r="L104" s="142">
        <v>2</v>
      </c>
      <c r="M104" s="142" t="str">
        <f t="shared" ca="1" si="14"/>
        <v>Aucune case cochée</v>
      </c>
      <c r="N104" s="142" t="str">
        <f t="shared" ca="1" si="12"/>
        <v>Aucune case cochée</v>
      </c>
      <c r="O104" s="47">
        <v>1</v>
      </c>
      <c r="P104" s="142">
        <f t="shared" si="16"/>
        <v>2</v>
      </c>
      <c r="Q104" s="142">
        <f t="shared" ca="1" si="15"/>
        <v>2</v>
      </c>
      <c r="R104" s="142">
        <f t="shared" si="11"/>
        <v>2</v>
      </c>
      <c r="S104" s="218"/>
      <c r="T104" s="218"/>
      <c r="U104" s="219"/>
      <c r="V104" s="220"/>
      <c r="W104" s="218"/>
      <c r="X104" s="220"/>
      <c r="Y104" s="217"/>
      <c r="Z104" s="17"/>
    </row>
    <row r="105" spans="1:26" ht="32.1" customHeight="1" x14ac:dyDescent="0.2">
      <c r="A105" s="44" t="s">
        <v>669</v>
      </c>
      <c r="B105" s="44" t="s">
        <v>670</v>
      </c>
      <c r="C105" s="44" t="s">
        <v>675</v>
      </c>
      <c r="D105" s="44" t="s">
        <v>188</v>
      </c>
      <c r="E105" s="45">
        <f t="shared" si="13"/>
        <v>52</v>
      </c>
      <c r="F105" s="142" t="s">
        <v>649</v>
      </c>
      <c r="G105" s="142" t="s">
        <v>650</v>
      </c>
      <c r="H105" s="142" t="s">
        <v>650</v>
      </c>
      <c r="I105" s="142" t="s">
        <v>650</v>
      </c>
      <c r="J105" s="142" t="s">
        <v>651</v>
      </c>
      <c r="K105" s="142" t="s">
        <v>210</v>
      </c>
      <c r="L105" s="142">
        <v>2</v>
      </c>
      <c r="M105" s="142" t="str">
        <f t="shared" ca="1" si="14"/>
        <v>Aucune case cochée</v>
      </c>
      <c r="N105" s="142" t="str">
        <f t="shared" ca="1" si="12"/>
        <v>Aucune case cochée</v>
      </c>
      <c r="O105" s="47">
        <v>1</v>
      </c>
      <c r="P105" s="142">
        <f t="shared" si="16"/>
        <v>2</v>
      </c>
      <c r="Q105" s="142">
        <f t="shared" ca="1" si="15"/>
        <v>2</v>
      </c>
      <c r="R105" s="142">
        <f t="shared" si="11"/>
        <v>2</v>
      </c>
      <c r="S105" s="218"/>
      <c r="T105" s="218"/>
      <c r="U105" s="219"/>
      <c r="V105" s="220"/>
      <c r="W105" s="218"/>
      <c r="X105" s="220"/>
      <c r="Y105" s="217"/>
      <c r="Z105" s="17"/>
    </row>
    <row r="106" spans="1:26" ht="32.1" customHeight="1" x14ac:dyDescent="0.2">
      <c r="A106" s="44" t="s">
        <v>669</v>
      </c>
      <c r="B106" s="44" t="s">
        <v>670</v>
      </c>
      <c r="C106" s="44" t="s">
        <v>675</v>
      </c>
      <c r="D106" s="44" t="s">
        <v>189</v>
      </c>
      <c r="E106" s="45">
        <f t="shared" si="13"/>
        <v>54</v>
      </c>
      <c r="F106" s="142" t="s">
        <v>649</v>
      </c>
      <c r="G106" s="142" t="s">
        <v>651</v>
      </c>
      <c r="H106" s="142" t="s">
        <v>651</v>
      </c>
      <c r="I106" s="142" t="s">
        <v>651</v>
      </c>
      <c r="J106" s="142" t="s">
        <v>651</v>
      </c>
      <c r="K106" s="142" t="s">
        <v>651</v>
      </c>
      <c r="L106" s="142">
        <v>1</v>
      </c>
      <c r="M106" s="142" t="str">
        <f t="shared" ca="1" si="14"/>
        <v>Aucune case cochée</v>
      </c>
      <c r="N106" s="142" t="str">
        <f t="shared" ca="1" si="12"/>
        <v>Aucune case cochée</v>
      </c>
      <c r="O106" s="47">
        <v>1</v>
      </c>
      <c r="P106" s="142">
        <f t="shared" si="16"/>
        <v>1</v>
      </c>
      <c r="Q106" s="142">
        <f t="shared" ca="1" si="15"/>
        <v>1</v>
      </c>
      <c r="R106" s="142">
        <f t="shared" si="11"/>
        <v>1</v>
      </c>
      <c r="S106" s="218"/>
      <c r="T106" s="218"/>
      <c r="U106" s="219"/>
      <c r="V106" s="220"/>
      <c r="W106" s="218"/>
      <c r="X106" s="220"/>
      <c r="Y106" s="217"/>
      <c r="Z106" s="17"/>
    </row>
    <row r="107" spans="1:26" ht="32.1" customHeight="1" x14ac:dyDescent="0.2">
      <c r="A107" s="44" t="s">
        <v>676</v>
      </c>
      <c r="B107" s="44" t="s">
        <v>676</v>
      </c>
      <c r="C107" s="44" t="s">
        <v>677</v>
      </c>
      <c r="D107" s="44" t="s">
        <v>192</v>
      </c>
      <c r="E107" s="45">
        <f t="shared" si="13"/>
        <v>10</v>
      </c>
      <c r="F107" s="142" t="s">
        <v>649</v>
      </c>
      <c r="G107" s="142" t="s">
        <v>650</v>
      </c>
      <c r="H107" s="142" t="s">
        <v>650</v>
      </c>
      <c r="I107" s="142" t="s">
        <v>650</v>
      </c>
      <c r="J107" s="142" t="s">
        <v>650</v>
      </c>
      <c r="K107" s="142" t="s">
        <v>651</v>
      </c>
      <c r="L107" s="142">
        <v>6</v>
      </c>
      <c r="M107" s="142" t="str">
        <f t="shared" ca="1" si="14"/>
        <v>Aucune case cochée</v>
      </c>
      <c r="N107" s="142" t="str">
        <f t="shared" ca="1" si="12"/>
        <v>Aucune case cochée</v>
      </c>
      <c r="O107" s="47">
        <v>1</v>
      </c>
      <c r="P107" s="142">
        <f t="shared" si="16"/>
        <v>6</v>
      </c>
      <c r="Q107" s="142">
        <f t="shared" ca="1" si="15"/>
        <v>6</v>
      </c>
      <c r="R107" s="142">
        <f t="shared" si="11"/>
        <v>6</v>
      </c>
      <c r="S107" s="218">
        <f>SUM(P107:P113)</f>
        <v>15</v>
      </c>
      <c r="T107" s="218">
        <f>SUM(R107:R113)</f>
        <v>21</v>
      </c>
      <c r="U107" s="219">
        <f>+S107/T107</f>
        <v>0.7142857142857143</v>
      </c>
      <c r="V107" s="220">
        <v>0.7</v>
      </c>
      <c r="W107" s="222">
        <f>U107*V107+U114*V114</f>
        <v>0.6875</v>
      </c>
      <c r="X107" s="220">
        <v>0.03</v>
      </c>
      <c r="Y107" s="217"/>
      <c r="Z107" s="17"/>
    </row>
    <row r="108" spans="1:26" ht="32.1" customHeight="1" x14ac:dyDescent="0.2">
      <c r="A108" s="44" t="s">
        <v>676</v>
      </c>
      <c r="B108" s="44" t="s">
        <v>676</v>
      </c>
      <c r="C108" s="44" t="s">
        <v>677</v>
      </c>
      <c r="D108" s="44" t="s">
        <v>193</v>
      </c>
      <c r="E108" s="45">
        <f t="shared" si="13"/>
        <v>12</v>
      </c>
      <c r="F108" s="142" t="s">
        <v>656</v>
      </c>
      <c r="G108" s="142" t="s">
        <v>650</v>
      </c>
      <c r="H108" s="142" t="s">
        <v>650</v>
      </c>
      <c r="I108" s="142" t="s">
        <v>650</v>
      </c>
      <c r="J108" s="142" t="s">
        <v>650</v>
      </c>
      <c r="K108" s="142" t="s">
        <v>650</v>
      </c>
      <c r="L108" s="142">
        <v>1</v>
      </c>
      <c r="M108" s="142" t="str">
        <f t="shared" ca="1" si="14"/>
        <v>Aucune case cochée</v>
      </c>
      <c r="N108" s="142" t="str">
        <f t="shared" ca="1" si="12"/>
        <v>Aucune case cochée</v>
      </c>
      <c r="O108" s="47">
        <v>0</v>
      </c>
      <c r="P108" s="142">
        <f t="shared" si="16"/>
        <v>0</v>
      </c>
      <c r="Q108" s="142">
        <f t="shared" ca="1" si="15"/>
        <v>3</v>
      </c>
      <c r="R108" s="142">
        <f t="shared" si="11"/>
        <v>3</v>
      </c>
      <c r="S108" s="218"/>
      <c r="T108" s="218"/>
      <c r="U108" s="219"/>
      <c r="V108" s="220"/>
      <c r="W108" s="218"/>
      <c r="X108" s="220"/>
      <c r="Y108" s="217"/>
      <c r="Z108" s="17"/>
    </row>
    <row r="109" spans="1:26" ht="32.1" customHeight="1" x14ac:dyDescent="0.2">
      <c r="A109" s="44" t="s">
        <v>676</v>
      </c>
      <c r="B109" s="44" t="s">
        <v>676</v>
      </c>
      <c r="C109" s="44" t="s">
        <v>677</v>
      </c>
      <c r="D109" s="44" t="s">
        <v>194</v>
      </c>
      <c r="E109" s="45">
        <f t="shared" si="13"/>
        <v>14</v>
      </c>
      <c r="F109" s="142" t="s">
        <v>656</v>
      </c>
      <c r="G109" s="142" t="s">
        <v>650</v>
      </c>
      <c r="H109" s="142" t="s">
        <v>650</v>
      </c>
      <c r="I109" s="142" t="s">
        <v>650</v>
      </c>
      <c r="J109" s="142" t="s">
        <v>650</v>
      </c>
      <c r="K109" s="142" t="s">
        <v>650</v>
      </c>
      <c r="L109" s="142">
        <v>1</v>
      </c>
      <c r="M109" s="142" t="str">
        <f t="shared" ca="1" si="14"/>
        <v>Aucune case cochée</v>
      </c>
      <c r="N109" s="142" t="str">
        <f t="shared" ca="1" si="12"/>
        <v>Aucune case cochée</v>
      </c>
      <c r="O109" s="47">
        <v>0</v>
      </c>
      <c r="P109" s="142">
        <f t="shared" si="16"/>
        <v>0</v>
      </c>
      <c r="Q109" s="142">
        <f t="shared" ca="1" si="15"/>
        <v>3</v>
      </c>
      <c r="R109" s="142">
        <f t="shared" si="11"/>
        <v>3</v>
      </c>
      <c r="S109" s="218"/>
      <c r="T109" s="218"/>
      <c r="U109" s="219"/>
      <c r="V109" s="220"/>
      <c r="W109" s="218"/>
      <c r="X109" s="220"/>
      <c r="Y109" s="217"/>
      <c r="Z109" s="17"/>
    </row>
    <row r="110" spans="1:26" ht="32.1" customHeight="1" x14ac:dyDescent="0.2">
      <c r="A110" s="44" t="s">
        <v>676</v>
      </c>
      <c r="B110" s="44" t="s">
        <v>676</v>
      </c>
      <c r="C110" s="44" t="s">
        <v>677</v>
      </c>
      <c r="D110" s="44" t="s">
        <v>195</v>
      </c>
      <c r="E110" s="45">
        <f t="shared" si="13"/>
        <v>16</v>
      </c>
      <c r="F110" s="142" t="s">
        <v>649</v>
      </c>
      <c r="G110" s="142" t="s">
        <v>650</v>
      </c>
      <c r="H110" s="142" t="s">
        <v>650</v>
      </c>
      <c r="I110" s="142" t="s">
        <v>650</v>
      </c>
      <c r="J110" s="142" t="s">
        <v>650</v>
      </c>
      <c r="K110" s="142" t="s">
        <v>650</v>
      </c>
      <c r="L110" s="142">
        <v>5</v>
      </c>
      <c r="M110" s="142" t="str">
        <f t="shared" ca="1" si="14"/>
        <v>Aucune case cochée</v>
      </c>
      <c r="N110" s="142" t="str">
        <f t="shared" ca="1" si="12"/>
        <v>Aucune case cochée</v>
      </c>
      <c r="O110" s="47">
        <v>1</v>
      </c>
      <c r="P110" s="142">
        <f t="shared" si="16"/>
        <v>5</v>
      </c>
      <c r="Q110" s="142">
        <f t="shared" ca="1" si="15"/>
        <v>5</v>
      </c>
      <c r="R110" s="142">
        <f t="shared" si="11"/>
        <v>5</v>
      </c>
      <c r="S110" s="218"/>
      <c r="T110" s="218"/>
      <c r="U110" s="219"/>
      <c r="V110" s="220"/>
      <c r="W110" s="218"/>
      <c r="X110" s="220"/>
      <c r="Y110" s="217"/>
      <c r="Z110" s="17"/>
    </row>
    <row r="111" spans="1:26" ht="32.1" customHeight="1" x14ac:dyDescent="0.2">
      <c r="A111" s="44" t="s">
        <v>676</v>
      </c>
      <c r="B111" s="44" t="s">
        <v>676</v>
      </c>
      <c r="C111" s="44" t="s">
        <v>677</v>
      </c>
      <c r="D111" s="44" t="s">
        <v>196</v>
      </c>
      <c r="E111" s="45">
        <f t="shared" si="13"/>
        <v>18</v>
      </c>
      <c r="F111" s="142" t="s">
        <v>649</v>
      </c>
      <c r="G111" s="142" t="s">
        <v>650</v>
      </c>
      <c r="H111" s="142" t="s">
        <v>650</v>
      </c>
      <c r="I111" s="142" t="s">
        <v>650</v>
      </c>
      <c r="J111" s="142" t="s">
        <v>650</v>
      </c>
      <c r="K111" s="142" t="s">
        <v>650</v>
      </c>
      <c r="L111" s="142">
        <v>2</v>
      </c>
      <c r="M111" s="142" t="str">
        <f t="shared" ca="1" si="14"/>
        <v>Aucune case cochée</v>
      </c>
      <c r="N111" s="142" t="str">
        <f t="shared" ca="1" si="12"/>
        <v>Aucune case cochée</v>
      </c>
      <c r="O111" s="47">
        <v>1</v>
      </c>
      <c r="P111" s="142">
        <f t="shared" si="16"/>
        <v>2</v>
      </c>
      <c r="Q111" s="142">
        <f t="shared" ca="1" si="15"/>
        <v>2</v>
      </c>
      <c r="R111" s="142">
        <f t="shared" si="11"/>
        <v>2</v>
      </c>
      <c r="S111" s="218"/>
      <c r="T111" s="218"/>
      <c r="U111" s="219"/>
      <c r="V111" s="220"/>
      <c r="W111" s="218"/>
      <c r="X111" s="220"/>
      <c r="Y111" s="217"/>
      <c r="Z111" s="17"/>
    </row>
    <row r="112" spans="1:26" ht="32.1" customHeight="1" x14ac:dyDescent="0.2">
      <c r="A112" s="44" t="s">
        <v>676</v>
      </c>
      <c r="B112" s="44" t="s">
        <v>676</v>
      </c>
      <c r="C112" s="44" t="s">
        <v>677</v>
      </c>
      <c r="D112" s="44" t="s">
        <v>197</v>
      </c>
      <c r="E112" s="45">
        <f t="shared" si="13"/>
        <v>20</v>
      </c>
      <c r="F112" s="142" t="s">
        <v>649</v>
      </c>
      <c r="G112" s="142" t="s">
        <v>651</v>
      </c>
      <c r="H112" s="142" t="s">
        <v>651</v>
      </c>
      <c r="I112" s="142" t="s">
        <v>651</v>
      </c>
      <c r="J112" s="142" t="s">
        <v>651</v>
      </c>
      <c r="K112" s="142" t="s">
        <v>651</v>
      </c>
      <c r="L112" s="142">
        <v>1</v>
      </c>
      <c r="M112" s="142" t="str">
        <f t="shared" ca="1" si="14"/>
        <v>Aucune case cochée</v>
      </c>
      <c r="N112" s="142" t="str">
        <f t="shared" ca="1" si="12"/>
        <v>Aucune case cochée</v>
      </c>
      <c r="O112" s="47">
        <v>1</v>
      </c>
      <c r="P112" s="142">
        <f t="shared" si="16"/>
        <v>1</v>
      </c>
      <c r="Q112" s="142">
        <f t="shared" ca="1" si="15"/>
        <v>1</v>
      </c>
      <c r="R112" s="142">
        <f t="shared" si="11"/>
        <v>1</v>
      </c>
      <c r="S112" s="218"/>
      <c r="T112" s="218"/>
      <c r="U112" s="219"/>
      <c r="V112" s="220"/>
      <c r="W112" s="218"/>
      <c r="X112" s="220"/>
      <c r="Y112" s="217"/>
      <c r="Z112" s="17"/>
    </row>
    <row r="113" spans="1:26" ht="32.1" customHeight="1" x14ac:dyDescent="0.2">
      <c r="A113" s="44" t="s">
        <v>676</v>
      </c>
      <c r="B113" s="44" t="s">
        <v>676</v>
      </c>
      <c r="C113" s="44" t="s">
        <v>677</v>
      </c>
      <c r="D113" s="44" t="s">
        <v>124</v>
      </c>
      <c r="E113" s="45">
        <f t="shared" si="13"/>
        <v>22</v>
      </c>
      <c r="F113" s="142" t="s">
        <v>649</v>
      </c>
      <c r="G113" s="142" t="s">
        <v>651</v>
      </c>
      <c r="H113" s="142" t="s">
        <v>651</v>
      </c>
      <c r="I113" s="142" t="s">
        <v>651</v>
      </c>
      <c r="J113" s="142" t="s">
        <v>651</v>
      </c>
      <c r="K113" s="142" t="s">
        <v>651</v>
      </c>
      <c r="L113" s="142">
        <v>1</v>
      </c>
      <c r="M113" s="142" t="str">
        <f t="shared" ca="1" si="14"/>
        <v>Aucune case cochée</v>
      </c>
      <c r="N113" s="142" t="str">
        <f t="shared" ca="1" si="12"/>
        <v>Aucune case cochée</v>
      </c>
      <c r="O113" s="47">
        <v>1</v>
      </c>
      <c r="P113" s="142">
        <f t="shared" si="16"/>
        <v>1</v>
      </c>
      <c r="Q113" s="142">
        <f t="shared" ca="1" si="15"/>
        <v>1</v>
      </c>
      <c r="R113" s="142">
        <f t="shared" si="11"/>
        <v>1</v>
      </c>
      <c r="S113" s="218"/>
      <c r="T113" s="218"/>
      <c r="U113" s="219"/>
      <c r="V113" s="220"/>
      <c r="W113" s="218"/>
      <c r="X113" s="220"/>
      <c r="Y113" s="217"/>
      <c r="Z113" s="17"/>
    </row>
    <row r="114" spans="1:26" ht="32.1" customHeight="1" x14ac:dyDescent="0.2">
      <c r="A114" s="44" t="s">
        <v>676</v>
      </c>
      <c r="B114" s="44" t="s">
        <v>676</v>
      </c>
      <c r="C114" s="44" t="s">
        <v>678</v>
      </c>
      <c r="D114" s="44" t="s">
        <v>199</v>
      </c>
      <c r="E114" s="45">
        <f t="shared" si="13"/>
        <v>25</v>
      </c>
      <c r="F114" s="142" t="s">
        <v>649</v>
      </c>
      <c r="G114" s="142" t="s">
        <v>650</v>
      </c>
      <c r="H114" s="142" t="s">
        <v>650</v>
      </c>
      <c r="I114" s="142" t="s">
        <v>650</v>
      </c>
      <c r="J114" s="142" t="s">
        <v>651</v>
      </c>
      <c r="K114" s="142" t="s">
        <v>210</v>
      </c>
      <c r="L114" s="142">
        <v>4</v>
      </c>
      <c r="M114" s="142" t="str">
        <f t="shared" ca="1" si="14"/>
        <v>Aucune case cochée</v>
      </c>
      <c r="N114" s="142" t="str">
        <f t="shared" ca="1" si="12"/>
        <v>Aucune case cochée</v>
      </c>
      <c r="O114" s="47">
        <v>1</v>
      </c>
      <c r="P114" s="142">
        <f t="shared" si="16"/>
        <v>4</v>
      </c>
      <c r="Q114" s="142">
        <f t="shared" ca="1" si="15"/>
        <v>4</v>
      </c>
      <c r="R114" s="142">
        <f t="shared" si="11"/>
        <v>4</v>
      </c>
      <c r="S114" s="218">
        <f>SUM(P114:P118)</f>
        <v>10</v>
      </c>
      <c r="T114" s="218">
        <f>SUM(R114:R118)</f>
        <v>16</v>
      </c>
      <c r="U114" s="219">
        <f>+S114/T114</f>
        <v>0.625</v>
      </c>
      <c r="V114" s="220">
        <v>0.3</v>
      </c>
      <c r="W114" s="218"/>
      <c r="X114" s="220"/>
      <c r="Y114" s="217"/>
      <c r="Z114" s="17"/>
    </row>
    <row r="115" spans="1:26" ht="32.1" customHeight="1" x14ac:dyDescent="0.2">
      <c r="A115" s="44" t="s">
        <v>676</v>
      </c>
      <c r="B115" s="44" t="s">
        <v>676</v>
      </c>
      <c r="C115" s="44" t="s">
        <v>678</v>
      </c>
      <c r="D115" s="44" t="s">
        <v>679</v>
      </c>
      <c r="E115" s="45">
        <f t="shared" si="13"/>
        <v>27</v>
      </c>
      <c r="F115" s="142" t="s">
        <v>656</v>
      </c>
      <c r="G115" s="142" t="s">
        <v>650</v>
      </c>
      <c r="H115" s="142" t="s">
        <v>650</v>
      </c>
      <c r="I115" s="142" t="s">
        <v>650</v>
      </c>
      <c r="J115" s="142" t="s">
        <v>651</v>
      </c>
      <c r="K115" s="142" t="s">
        <v>210</v>
      </c>
      <c r="L115" s="142">
        <v>1</v>
      </c>
      <c r="M115" s="142" t="str">
        <f t="shared" ca="1" si="14"/>
        <v>Aucune case cochée</v>
      </c>
      <c r="N115" s="142" t="str">
        <f t="shared" ca="1" si="12"/>
        <v>Aucune case cochée</v>
      </c>
      <c r="O115" s="47">
        <v>0</v>
      </c>
      <c r="P115" s="142">
        <f t="shared" si="16"/>
        <v>0</v>
      </c>
      <c r="Q115" s="142">
        <f t="shared" ca="1" si="15"/>
        <v>3</v>
      </c>
      <c r="R115" s="142">
        <f t="shared" si="11"/>
        <v>3</v>
      </c>
      <c r="S115" s="218"/>
      <c r="T115" s="218"/>
      <c r="U115" s="219"/>
      <c r="V115" s="220"/>
      <c r="W115" s="218"/>
      <c r="X115" s="220"/>
      <c r="Y115" s="217"/>
      <c r="Z115" s="17"/>
    </row>
    <row r="116" spans="1:26" ht="32.1" customHeight="1" x14ac:dyDescent="0.2">
      <c r="A116" s="44" t="s">
        <v>676</v>
      </c>
      <c r="B116" s="44" t="s">
        <v>676</v>
      </c>
      <c r="C116" s="44" t="s">
        <v>678</v>
      </c>
      <c r="D116" s="44" t="s">
        <v>201</v>
      </c>
      <c r="E116" s="45">
        <f t="shared" si="13"/>
        <v>29</v>
      </c>
      <c r="F116" s="142" t="s">
        <v>656</v>
      </c>
      <c r="G116" s="142" t="s">
        <v>650</v>
      </c>
      <c r="H116" s="142" t="s">
        <v>650</v>
      </c>
      <c r="I116" s="142" t="s">
        <v>650</v>
      </c>
      <c r="J116" s="142" t="s">
        <v>651</v>
      </c>
      <c r="K116" s="142" t="s">
        <v>210</v>
      </c>
      <c r="L116" s="142">
        <v>1</v>
      </c>
      <c r="M116" s="142" t="str">
        <f t="shared" ca="1" si="14"/>
        <v>Aucune case cochée</v>
      </c>
      <c r="N116" s="142" t="str">
        <f t="shared" ca="1" si="12"/>
        <v>Aucune case cochée</v>
      </c>
      <c r="O116" s="47">
        <v>0</v>
      </c>
      <c r="P116" s="142">
        <f t="shared" si="16"/>
        <v>0</v>
      </c>
      <c r="Q116" s="142">
        <f t="shared" ca="1" si="15"/>
        <v>3</v>
      </c>
      <c r="R116" s="142">
        <f t="shared" si="11"/>
        <v>3</v>
      </c>
      <c r="S116" s="218"/>
      <c r="T116" s="218"/>
      <c r="U116" s="219"/>
      <c r="V116" s="220"/>
      <c r="W116" s="218"/>
      <c r="X116" s="220"/>
      <c r="Y116" s="217"/>
      <c r="Z116" s="17"/>
    </row>
    <row r="117" spans="1:26" ht="32.1" customHeight="1" x14ac:dyDescent="0.2">
      <c r="A117" s="44" t="s">
        <v>676</v>
      </c>
      <c r="B117" s="44" t="s">
        <v>676</v>
      </c>
      <c r="C117" s="44" t="s">
        <v>678</v>
      </c>
      <c r="D117" s="44" t="s">
        <v>202</v>
      </c>
      <c r="E117" s="45">
        <f t="shared" si="13"/>
        <v>31</v>
      </c>
      <c r="F117" s="142" t="s">
        <v>649</v>
      </c>
      <c r="G117" s="142" t="s">
        <v>650</v>
      </c>
      <c r="H117" s="142" t="s">
        <v>650</v>
      </c>
      <c r="I117" s="142" t="s">
        <v>650</v>
      </c>
      <c r="J117" s="142" t="s">
        <v>651</v>
      </c>
      <c r="K117" s="142" t="s">
        <v>210</v>
      </c>
      <c r="L117" s="142">
        <v>2</v>
      </c>
      <c r="M117" s="142" t="str">
        <f t="shared" ca="1" si="14"/>
        <v>Aucune case cochée</v>
      </c>
      <c r="N117" s="142" t="str">
        <f t="shared" ca="1" si="12"/>
        <v>Aucune case cochée</v>
      </c>
      <c r="O117" s="47">
        <v>1</v>
      </c>
      <c r="P117" s="142">
        <f t="shared" si="16"/>
        <v>2</v>
      </c>
      <c r="Q117" s="142">
        <f t="shared" ca="1" si="15"/>
        <v>2</v>
      </c>
      <c r="R117" s="142">
        <f t="shared" si="11"/>
        <v>2</v>
      </c>
      <c r="S117" s="218"/>
      <c r="T117" s="218"/>
      <c r="U117" s="219"/>
      <c r="V117" s="220"/>
      <c r="W117" s="218"/>
      <c r="X117" s="220"/>
      <c r="Y117" s="217"/>
      <c r="Z117" s="17"/>
    </row>
    <row r="118" spans="1:26" ht="32.1" customHeight="1" x14ac:dyDescent="0.2">
      <c r="A118" s="44" t="s">
        <v>676</v>
      </c>
      <c r="B118" s="44" t="s">
        <v>676</v>
      </c>
      <c r="C118" s="44" t="s">
        <v>678</v>
      </c>
      <c r="D118" s="44" t="s">
        <v>203</v>
      </c>
      <c r="E118" s="45">
        <f t="shared" si="13"/>
        <v>33</v>
      </c>
      <c r="F118" s="142" t="s">
        <v>649</v>
      </c>
      <c r="G118" s="142" t="s">
        <v>650</v>
      </c>
      <c r="H118" s="142" t="s">
        <v>650</v>
      </c>
      <c r="I118" s="142" t="s">
        <v>651</v>
      </c>
      <c r="J118" s="142" t="s">
        <v>210</v>
      </c>
      <c r="K118" s="142" t="s">
        <v>210</v>
      </c>
      <c r="L118" s="142">
        <v>4</v>
      </c>
      <c r="M118" s="142" t="str">
        <f t="shared" ca="1" si="14"/>
        <v>Aucune case cochée</v>
      </c>
      <c r="N118" s="142" t="str">
        <f t="shared" ca="1" si="12"/>
        <v>Aucune case cochée</v>
      </c>
      <c r="O118" s="47">
        <v>1</v>
      </c>
      <c r="P118" s="142">
        <f t="shared" si="16"/>
        <v>4</v>
      </c>
      <c r="Q118" s="142">
        <f t="shared" ca="1" si="15"/>
        <v>4</v>
      </c>
      <c r="R118" s="142">
        <f t="shared" si="11"/>
        <v>4</v>
      </c>
      <c r="S118" s="218"/>
      <c r="T118" s="218"/>
      <c r="U118" s="219"/>
      <c r="V118" s="220"/>
      <c r="W118" s="218"/>
      <c r="X118" s="220"/>
      <c r="Y118" s="217"/>
      <c r="Z118" s="17"/>
    </row>
    <row r="119" spans="1:26" ht="32.1" customHeight="1" x14ac:dyDescent="0.2">
      <c r="A119" s="44" t="s">
        <v>680</v>
      </c>
      <c r="B119" s="44" t="s">
        <v>681</v>
      </c>
      <c r="C119" s="44" t="s">
        <v>682</v>
      </c>
      <c r="D119" s="44" t="s">
        <v>206</v>
      </c>
      <c r="E119" s="45">
        <f t="shared" si="13"/>
        <v>10</v>
      </c>
      <c r="F119" s="142" t="s">
        <v>649</v>
      </c>
      <c r="G119" s="142" t="s">
        <v>650</v>
      </c>
      <c r="H119" s="142" t="s">
        <v>650</v>
      </c>
      <c r="I119" s="142" t="s">
        <v>650</v>
      </c>
      <c r="J119" s="142" t="s">
        <v>650</v>
      </c>
      <c r="K119" s="142" t="s">
        <v>651</v>
      </c>
      <c r="L119" s="142">
        <v>2</v>
      </c>
      <c r="M119" s="142" t="str">
        <f t="shared" ca="1" si="14"/>
        <v>Aucune case cochée</v>
      </c>
      <c r="N119" s="142" t="str">
        <f t="shared" ca="1" si="12"/>
        <v>Aucune case cochée</v>
      </c>
      <c r="O119" s="47">
        <v>1</v>
      </c>
      <c r="P119" s="142">
        <f>IF(O119="Non concerné",O119,O119*L119)</f>
        <v>2</v>
      </c>
      <c r="Q119" s="142">
        <f t="shared" ca="1" si="15"/>
        <v>2</v>
      </c>
      <c r="R119" s="142">
        <f t="shared" si="11"/>
        <v>2</v>
      </c>
      <c r="S119" s="218">
        <f ca="1">SUM(P119:P126)</f>
        <v>11</v>
      </c>
      <c r="T119" s="218">
        <f>SUM(R119:R126)</f>
        <v>23</v>
      </c>
      <c r="U119" s="219">
        <f ca="1">+S119/T119</f>
        <v>0.47826086956521741</v>
      </c>
      <c r="V119" s="220">
        <v>0.7</v>
      </c>
      <c r="W119" s="222">
        <f ca="1">U119*V119+U127*V127</f>
        <v>0.33478260869565218</v>
      </c>
      <c r="X119" s="220">
        <v>7.4999999999999997E-2</v>
      </c>
      <c r="Y119" s="217"/>
      <c r="Z119" s="17"/>
    </row>
    <row r="120" spans="1:26" ht="32.1" customHeight="1" x14ac:dyDescent="0.2">
      <c r="A120" s="44" t="s">
        <v>680</v>
      </c>
      <c r="B120" s="44" t="s">
        <v>681</v>
      </c>
      <c r="C120" s="44" t="s">
        <v>682</v>
      </c>
      <c r="D120" s="44" t="s">
        <v>683</v>
      </c>
      <c r="E120" s="45">
        <f t="shared" si="13"/>
        <v>12</v>
      </c>
      <c r="F120" s="142" t="s">
        <v>656</v>
      </c>
      <c r="G120" s="142" t="s">
        <v>650</v>
      </c>
      <c r="H120" s="142" t="s">
        <v>650</v>
      </c>
      <c r="I120" s="142" t="s">
        <v>650</v>
      </c>
      <c r="J120" s="142" t="s">
        <v>650</v>
      </c>
      <c r="K120" s="142" t="s">
        <v>651</v>
      </c>
      <c r="L120" s="142">
        <v>1</v>
      </c>
      <c r="M120" s="142" t="str">
        <f t="shared" ca="1" si="14"/>
        <v>Aucune case cochée</v>
      </c>
      <c r="N120" s="142" t="str">
        <f t="shared" ca="1" si="12"/>
        <v>Aucune case cochée</v>
      </c>
      <c r="O120" s="47">
        <v>0</v>
      </c>
      <c r="P120" s="142">
        <f>IF(O120="Non concerné",O120,O120*L120)</f>
        <v>0</v>
      </c>
      <c r="Q120" s="142">
        <f t="shared" ca="1" si="15"/>
        <v>3</v>
      </c>
      <c r="R120" s="142">
        <f t="shared" si="11"/>
        <v>3</v>
      </c>
      <c r="S120" s="218"/>
      <c r="T120" s="218"/>
      <c r="U120" s="219"/>
      <c r="V120" s="220"/>
      <c r="W120" s="218"/>
      <c r="X120" s="220"/>
      <c r="Y120" s="217"/>
      <c r="Z120" s="17"/>
    </row>
    <row r="121" spans="1:26" ht="32.1" customHeight="1" x14ac:dyDescent="0.2">
      <c r="A121" s="44" t="s">
        <v>680</v>
      </c>
      <c r="B121" s="44" t="s">
        <v>681</v>
      </c>
      <c r="C121" s="44" t="s">
        <v>682</v>
      </c>
      <c r="D121" s="44" t="s">
        <v>684</v>
      </c>
      <c r="E121" s="45">
        <f t="shared" si="13"/>
        <v>14</v>
      </c>
      <c r="F121" s="142" t="s">
        <v>656</v>
      </c>
      <c r="G121" s="142" t="s">
        <v>650</v>
      </c>
      <c r="H121" s="142" t="s">
        <v>650</v>
      </c>
      <c r="I121" s="142" t="s">
        <v>650</v>
      </c>
      <c r="J121" s="142" t="s">
        <v>650</v>
      </c>
      <c r="K121" s="142" t="s">
        <v>651</v>
      </c>
      <c r="L121" s="142">
        <v>1</v>
      </c>
      <c r="M121" s="142" t="str">
        <f t="shared" ca="1" si="14"/>
        <v>Aucune case cochée</v>
      </c>
      <c r="N121" s="142" t="str">
        <f t="shared" ca="1" si="12"/>
        <v>Aucune case cochée</v>
      </c>
      <c r="O121" s="47">
        <v>0</v>
      </c>
      <c r="P121" s="142">
        <f>IF(O121="Non concerné",O121,O121*L121)</f>
        <v>0</v>
      </c>
      <c r="Q121" s="142">
        <f t="shared" ca="1" si="15"/>
        <v>3</v>
      </c>
      <c r="R121" s="142">
        <f t="shared" si="11"/>
        <v>3</v>
      </c>
      <c r="S121" s="218"/>
      <c r="T121" s="218"/>
      <c r="U121" s="219"/>
      <c r="V121" s="220"/>
      <c r="W121" s="218"/>
      <c r="X121" s="220"/>
      <c r="Y121" s="217"/>
      <c r="Z121" s="17"/>
    </row>
    <row r="122" spans="1:26" ht="32.1" customHeight="1" x14ac:dyDescent="0.2">
      <c r="A122" s="44" t="s">
        <v>680</v>
      </c>
      <c r="B122" s="44" t="s">
        <v>681</v>
      </c>
      <c r="C122" s="44" t="s">
        <v>682</v>
      </c>
      <c r="D122" s="44" t="s">
        <v>209</v>
      </c>
      <c r="E122" s="45">
        <f t="shared" si="13"/>
        <v>16</v>
      </c>
      <c r="F122" s="142" t="s">
        <v>649</v>
      </c>
      <c r="G122" s="142" t="s">
        <v>650</v>
      </c>
      <c r="H122" s="142" t="s">
        <v>650</v>
      </c>
      <c r="I122" s="142" t="s">
        <v>650</v>
      </c>
      <c r="J122" s="142" t="s">
        <v>650</v>
      </c>
      <c r="K122" s="142" t="s">
        <v>651</v>
      </c>
      <c r="L122" s="142">
        <v>4</v>
      </c>
      <c r="M122" s="142" t="str">
        <f t="shared" ca="1" si="14"/>
        <v>Aucune case cochée</v>
      </c>
      <c r="N122" s="146" t="str">
        <f ca="1">IF(M122="Aucune case cochée",M122,IF(M122&lt;&gt;"12 et plus",0))</f>
        <v>Aucune case cochée</v>
      </c>
      <c r="O122" s="47">
        <v>1</v>
      </c>
      <c r="P122" s="142">
        <f ca="1">IF(M122="Non concerné",M122,IF(M122="12 et plus",6,IF(M122="De 10 à 11",5,IF(M122="De 5 à 9",3,IF(M122="Continental",2,0)))))</f>
        <v>0</v>
      </c>
      <c r="Q122" s="142">
        <f t="shared" ca="1" si="15"/>
        <v>6</v>
      </c>
      <c r="R122" s="142">
        <v>6</v>
      </c>
      <c r="S122" s="218"/>
      <c r="T122" s="218"/>
      <c r="U122" s="219"/>
      <c r="V122" s="220"/>
      <c r="W122" s="218"/>
      <c r="X122" s="220"/>
      <c r="Y122" s="217"/>
      <c r="Z122" s="17"/>
    </row>
    <row r="123" spans="1:26" ht="32.1" customHeight="1" x14ac:dyDescent="0.2">
      <c r="A123" s="44" t="s">
        <v>680</v>
      </c>
      <c r="B123" s="44" t="s">
        <v>681</v>
      </c>
      <c r="C123" s="44" t="s">
        <v>682</v>
      </c>
      <c r="D123" s="44" t="s">
        <v>216</v>
      </c>
      <c r="E123" s="45">
        <f t="shared" si="13"/>
        <v>18</v>
      </c>
      <c r="F123" s="142" t="s">
        <v>649</v>
      </c>
      <c r="G123" s="142" t="s">
        <v>651</v>
      </c>
      <c r="H123" s="142" t="s">
        <v>651</v>
      </c>
      <c r="I123" s="142" t="s">
        <v>651</v>
      </c>
      <c r="J123" s="142" t="s">
        <v>210</v>
      </c>
      <c r="K123" s="142" t="s">
        <v>210</v>
      </c>
      <c r="L123" s="142">
        <v>2</v>
      </c>
      <c r="M123" s="142" t="str">
        <f t="shared" ca="1" si="14"/>
        <v>Aucune case cochée</v>
      </c>
      <c r="N123" s="142" t="str">
        <f ca="1">IF(M123="Aucune case cochée",M123,IF(M123="NC","Non concerné",IF(M123="Oui",1*L123,IF(M123="Non",0,L123*M123))))</f>
        <v>Aucune case cochée</v>
      </c>
      <c r="O123" s="47">
        <v>1</v>
      </c>
      <c r="P123" s="142">
        <f t="shared" ref="P123:P133" si="17">IF(O123="Non concerné",O123,O123*L123)</f>
        <v>2</v>
      </c>
      <c r="Q123" s="142">
        <f t="shared" ca="1" si="15"/>
        <v>2</v>
      </c>
      <c r="R123" s="142">
        <f t="shared" ref="R123:R185" si="18">IF(O123="Non concerné",O123,IF(F123="Binaire",1,3)*L123)</f>
        <v>2</v>
      </c>
      <c r="S123" s="218"/>
      <c r="T123" s="218"/>
      <c r="U123" s="219"/>
      <c r="V123" s="220"/>
      <c r="W123" s="218"/>
      <c r="X123" s="220"/>
      <c r="Y123" s="217"/>
      <c r="Z123" s="17"/>
    </row>
    <row r="124" spans="1:26" ht="32.1" customHeight="1" x14ac:dyDescent="0.2">
      <c r="A124" s="44" t="s">
        <v>680</v>
      </c>
      <c r="B124" s="44" t="s">
        <v>681</v>
      </c>
      <c r="C124" s="44" t="s">
        <v>682</v>
      </c>
      <c r="D124" s="44" t="s">
        <v>217</v>
      </c>
      <c r="E124" s="45">
        <f t="shared" si="13"/>
        <v>20</v>
      </c>
      <c r="F124" s="142" t="s">
        <v>649</v>
      </c>
      <c r="G124" s="142" t="s">
        <v>650</v>
      </c>
      <c r="H124" s="142" t="s">
        <v>651</v>
      </c>
      <c r="I124" s="142" t="s">
        <v>210</v>
      </c>
      <c r="J124" s="142" t="s">
        <v>210</v>
      </c>
      <c r="K124" s="142" t="s">
        <v>210</v>
      </c>
      <c r="L124" s="142">
        <v>4</v>
      </c>
      <c r="M124" s="142" t="str">
        <f t="shared" ca="1" si="14"/>
        <v>Aucune case cochée</v>
      </c>
      <c r="N124" s="142" t="str">
        <f t="shared" ref="N124:N133" ca="1" si="19">IF(M124="Aucune case cochée",M124,IF(M124="NC","Non concerné",IF(M124="Oui",1*L124,IF(M124="Non",0,L124*M124))))</f>
        <v>Aucune case cochée</v>
      </c>
      <c r="O124" s="47">
        <v>1</v>
      </c>
      <c r="P124" s="142">
        <f t="shared" si="17"/>
        <v>4</v>
      </c>
      <c r="Q124" s="142">
        <f t="shared" ca="1" si="15"/>
        <v>4</v>
      </c>
      <c r="R124" s="142">
        <f t="shared" si="18"/>
        <v>4</v>
      </c>
      <c r="S124" s="218"/>
      <c r="T124" s="218"/>
      <c r="U124" s="219"/>
      <c r="V124" s="220"/>
      <c r="W124" s="218"/>
      <c r="X124" s="220"/>
      <c r="Y124" s="217"/>
      <c r="Z124" s="17"/>
    </row>
    <row r="125" spans="1:26" ht="32.1" customHeight="1" x14ac:dyDescent="0.2">
      <c r="A125" s="44" t="s">
        <v>680</v>
      </c>
      <c r="B125" s="44" t="s">
        <v>681</v>
      </c>
      <c r="C125" s="44" t="s">
        <v>682</v>
      </c>
      <c r="D125" s="44" t="s">
        <v>218</v>
      </c>
      <c r="E125" s="45">
        <f t="shared" si="13"/>
        <v>22</v>
      </c>
      <c r="F125" s="142" t="s">
        <v>649</v>
      </c>
      <c r="G125" s="142" t="s">
        <v>650</v>
      </c>
      <c r="H125" s="142" t="s">
        <v>650</v>
      </c>
      <c r="I125" s="142" t="s">
        <v>650</v>
      </c>
      <c r="J125" s="142" t="s">
        <v>651</v>
      </c>
      <c r="K125" s="142" t="s">
        <v>651</v>
      </c>
      <c r="L125" s="142">
        <v>2</v>
      </c>
      <c r="M125" s="142" t="str">
        <f t="shared" ca="1" si="14"/>
        <v>Aucune case cochée</v>
      </c>
      <c r="N125" s="142" t="str">
        <f t="shared" ca="1" si="19"/>
        <v>Aucune case cochée</v>
      </c>
      <c r="O125" s="47">
        <v>1</v>
      </c>
      <c r="P125" s="142">
        <f t="shared" si="17"/>
        <v>2</v>
      </c>
      <c r="Q125" s="142">
        <f t="shared" ca="1" si="15"/>
        <v>2</v>
      </c>
      <c r="R125" s="142">
        <f t="shared" si="18"/>
        <v>2</v>
      </c>
      <c r="S125" s="218"/>
      <c r="T125" s="218"/>
      <c r="U125" s="219"/>
      <c r="V125" s="220"/>
      <c r="W125" s="218"/>
      <c r="X125" s="220"/>
      <c r="Y125" s="217"/>
      <c r="Z125" s="17"/>
    </row>
    <row r="126" spans="1:26" ht="32.1" customHeight="1" x14ac:dyDescent="0.2">
      <c r="A126" s="44" t="s">
        <v>680</v>
      </c>
      <c r="B126" s="44" t="s">
        <v>681</v>
      </c>
      <c r="C126" s="44" t="s">
        <v>682</v>
      </c>
      <c r="D126" s="48" t="s">
        <v>219</v>
      </c>
      <c r="E126" s="45">
        <f t="shared" si="13"/>
        <v>24</v>
      </c>
      <c r="F126" s="142" t="s">
        <v>649</v>
      </c>
      <c r="G126" s="142" t="s">
        <v>651</v>
      </c>
      <c r="H126" s="142" t="s">
        <v>651</v>
      </c>
      <c r="I126" s="142" t="s">
        <v>651</v>
      </c>
      <c r="J126" s="142" t="s">
        <v>651</v>
      </c>
      <c r="K126" s="142" t="s">
        <v>651</v>
      </c>
      <c r="L126" s="142">
        <v>1</v>
      </c>
      <c r="M126" s="142" t="str">
        <f t="shared" ca="1" si="14"/>
        <v>Aucune case cochée</v>
      </c>
      <c r="N126" s="142" t="str">
        <f t="shared" ca="1" si="19"/>
        <v>Aucune case cochée</v>
      </c>
      <c r="O126" s="47">
        <v>1</v>
      </c>
      <c r="P126" s="142">
        <f t="shared" si="17"/>
        <v>1</v>
      </c>
      <c r="Q126" s="142">
        <f t="shared" ca="1" si="15"/>
        <v>1</v>
      </c>
      <c r="R126" s="142">
        <f t="shared" si="18"/>
        <v>1</v>
      </c>
      <c r="S126" s="218"/>
      <c r="T126" s="218"/>
      <c r="U126" s="219"/>
      <c r="V126" s="220"/>
      <c r="W126" s="218"/>
      <c r="X126" s="220"/>
      <c r="Y126" s="217"/>
      <c r="Z126" s="17"/>
    </row>
    <row r="127" spans="1:26" ht="32.1" customHeight="1" x14ac:dyDescent="0.2">
      <c r="A127" s="44" t="s">
        <v>680</v>
      </c>
      <c r="B127" s="44" t="s">
        <v>681</v>
      </c>
      <c r="C127" s="44" t="s">
        <v>685</v>
      </c>
      <c r="D127" s="44" t="s">
        <v>221</v>
      </c>
      <c r="E127" s="45">
        <f t="shared" si="13"/>
        <v>27</v>
      </c>
      <c r="F127" s="142" t="s">
        <v>656</v>
      </c>
      <c r="G127" s="142" t="s">
        <v>650</v>
      </c>
      <c r="H127" s="142" t="s">
        <v>650</v>
      </c>
      <c r="I127" s="142" t="s">
        <v>650</v>
      </c>
      <c r="J127" s="142" t="s">
        <v>650</v>
      </c>
      <c r="K127" s="142" t="s">
        <v>651</v>
      </c>
      <c r="L127" s="142">
        <v>1</v>
      </c>
      <c r="M127" s="142" t="str">
        <f t="shared" ca="1" si="14"/>
        <v>Aucune case cochée</v>
      </c>
      <c r="N127" s="142" t="str">
        <f t="shared" ca="1" si="19"/>
        <v>Aucune case cochée</v>
      </c>
      <c r="O127" s="47">
        <v>0</v>
      </c>
      <c r="P127" s="142">
        <f t="shared" si="17"/>
        <v>0</v>
      </c>
      <c r="Q127" s="142">
        <f t="shared" ca="1" si="15"/>
        <v>3</v>
      </c>
      <c r="R127" s="142">
        <f t="shared" si="18"/>
        <v>3</v>
      </c>
      <c r="S127" s="218">
        <f>SUM(P127:P132)</f>
        <v>0</v>
      </c>
      <c r="T127" s="218">
        <f>SUM(R127:R132)</f>
        <v>18</v>
      </c>
      <c r="U127" s="219">
        <f>+S127/T127</f>
        <v>0</v>
      </c>
      <c r="V127" s="220">
        <v>0.3</v>
      </c>
      <c r="W127" s="218"/>
      <c r="X127" s="220"/>
      <c r="Y127" s="217"/>
      <c r="Z127" s="17"/>
    </row>
    <row r="128" spans="1:26" ht="32.1" customHeight="1" x14ac:dyDescent="0.2">
      <c r="A128" s="44" t="s">
        <v>680</v>
      </c>
      <c r="B128" s="44" t="s">
        <v>681</v>
      </c>
      <c r="C128" s="44" t="s">
        <v>685</v>
      </c>
      <c r="D128" s="44" t="s">
        <v>222</v>
      </c>
      <c r="E128" s="45">
        <f t="shared" si="13"/>
        <v>29</v>
      </c>
      <c r="F128" s="142" t="s">
        <v>656</v>
      </c>
      <c r="G128" s="142" t="s">
        <v>650</v>
      </c>
      <c r="H128" s="142" t="s">
        <v>650</v>
      </c>
      <c r="I128" s="142" t="s">
        <v>650</v>
      </c>
      <c r="J128" s="142" t="s">
        <v>650</v>
      </c>
      <c r="K128" s="142" t="s">
        <v>651</v>
      </c>
      <c r="L128" s="142">
        <v>1</v>
      </c>
      <c r="M128" s="142" t="str">
        <f t="shared" ca="1" si="14"/>
        <v>Aucune case cochée</v>
      </c>
      <c r="N128" s="142" t="str">
        <f t="shared" ca="1" si="19"/>
        <v>Aucune case cochée</v>
      </c>
      <c r="O128" s="47">
        <v>0</v>
      </c>
      <c r="P128" s="142">
        <f t="shared" si="17"/>
        <v>0</v>
      </c>
      <c r="Q128" s="142">
        <f t="shared" ca="1" si="15"/>
        <v>3</v>
      </c>
      <c r="R128" s="142">
        <f t="shared" si="18"/>
        <v>3</v>
      </c>
      <c r="S128" s="218"/>
      <c r="T128" s="218"/>
      <c r="U128" s="219"/>
      <c r="V128" s="220"/>
      <c r="W128" s="218"/>
      <c r="X128" s="220"/>
      <c r="Y128" s="217"/>
      <c r="Z128" s="17"/>
    </row>
    <row r="129" spans="1:26" ht="32.1" customHeight="1" x14ac:dyDescent="0.2">
      <c r="A129" s="44" t="s">
        <v>680</v>
      </c>
      <c r="B129" s="44" t="s">
        <v>681</v>
      </c>
      <c r="C129" s="44" t="s">
        <v>685</v>
      </c>
      <c r="D129" s="44" t="s">
        <v>223</v>
      </c>
      <c r="E129" s="45">
        <f t="shared" si="13"/>
        <v>31</v>
      </c>
      <c r="F129" s="142" t="s">
        <v>656</v>
      </c>
      <c r="G129" s="142" t="s">
        <v>650</v>
      </c>
      <c r="H129" s="142" t="s">
        <v>650</v>
      </c>
      <c r="I129" s="142" t="s">
        <v>650</v>
      </c>
      <c r="J129" s="142" t="s">
        <v>650</v>
      </c>
      <c r="K129" s="142" t="s">
        <v>651</v>
      </c>
      <c r="L129" s="142">
        <v>1</v>
      </c>
      <c r="M129" s="142" t="str">
        <f t="shared" ca="1" si="14"/>
        <v>Aucune case cochée</v>
      </c>
      <c r="N129" s="142" t="str">
        <f t="shared" ca="1" si="19"/>
        <v>Aucune case cochée</v>
      </c>
      <c r="O129" s="47">
        <v>0</v>
      </c>
      <c r="P129" s="142">
        <f t="shared" si="17"/>
        <v>0</v>
      </c>
      <c r="Q129" s="142">
        <f t="shared" ca="1" si="15"/>
        <v>3</v>
      </c>
      <c r="R129" s="142">
        <f t="shared" si="18"/>
        <v>3</v>
      </c>
      <c r="S129" s="218"/>
      <c r="T129" s="218"/>
      <c r="U129" s="219"/>
      <c r="V129" s="220"/>
      <c r="W129" s="218"/>
      <c r="X129" s="220"/>
      <c r="Y129" s="217"/>
      <c r="Z129" s="17"/>
    </row>
    <row r="130" spans="1:26" ht="32.1" customHeight="1" x14ac:dyDescent="0.2">
      <c r="A130" s="44" t="s">
        <v>680</v>
      </c>
      <c r="B130" s="44" t="s">
        <v>681</v>
      </c>
      <c r="C130" s="44" t="s">
        <v>685</v>
      </c>
      <c r="D130" s="44" t="s">
        <v>224</v>
      </c>
      <c r="E130" s="45">
        <f t="shared" ref="E130:E193" si="20">IF(B130&lt;&gt;B129,10,IF(C130&lt;&gt;C129,E129+3,E129+2))</f>
        <v>33</v>
      </c>
      <c r="F130" s="142" t="s">
        <v>656</v>
      </c>
      <c r="G130" s="142" t="s">
        <v>650</v>
      </c>
      <c r="H130" s="142" t="s">
        <v>650</v>
      </c>
      <c r="I130" s="142" t="s">
        <v>650</v>
      </c>
      <c r="J130" s="142" t="s">
        <v>650</v>
      </c>
      <c r="K130" s="142" t="s">
        <v>651</v>
      </c>
      <c r="L130" s="142">
        <v>1</v>
      </c>
      <c r="M130" s="142" t="str">
        <f t="shared" ca="1" si="14"/>
        <v>Aucune case cochée</v>
      </c>
      <c r="N130" s="142" t="str">
        <f t="shared" ca="1" si="19"/>
        <v>Aucune case cochée</v>
      </c>
      <c r="O130" s="47">
        <v>0</v>
      </c>
      <c r="P130" s="142">
        <f t="shared" si="17"/>
        <v>0</v>
      </c>
      <c r="Q130" s="142">
        <f t="shared" ca="1" si="15"/>
        <v>3</v>
      </c>
      <c r="R130" s="142">
        <f t="shared" si="18"/>
        <v>3</v>
      </c>
      <c r="S130" s="218"/>
      <c r="T130" s="218"/>
      <c r="U130" s="219"/>
      <c r="V130" s="220"/>
      <c r="W130" s="218"/>
      <c r="X130" s="220"/>
      <c r="Y130" s="217"/>
      <c r="Z130" s="17"/>
    </row>
    <row r="131" spans="1:26" ht="32.1" customHeight="1" x14ac:dyDescent="0.2">
      <c r="A131" s="44" t="s">
        <v>680</v>
      </c>
      <c r="B131" s="44" t="s">
        <v>681</v>
      </c>
      <c r="C131" s="44" t="s">
        <v>685</v>
      </c>
      <c r="D131" s="44" t="s">
        <v>225</v>
      </c>
      <c r="E131" s="45">
        <f t="shared" si="20"/>
        <v>35</v>
      </c>
      <c r="F131" s="142" t="s">
        <v>656</v>
      </c>
      <c r="G131" s="142" t="s">
        <v>650</v>
      </c>
      <c r="H131" s="142" t="s">
        <v>650</v>
      </c>
      <c r="I131" s="142" t="s">
        <v>650</v>
      </c>
      <c r="J131" s="142" t="s">
        <v>650</v>
      </c>
      <c r="K131" s="142" t="s">
        <v>651</v>
      </c>
      <c r="L131" s="142">
        <v>1</v>
      </c>
      <c r="M131" s="142" t="str">
        <f t="shared" ca="1" si="14"/>
        <v>Aucune case cochée</v>
      </c>
      <c r="N131" s="142" t="str">
        <f t="shared" ca="1" si="19"/>
        <v>Aucune case cochée</v>
      </c>
      <c r="O131" s="47">
        <v>0</v>
      </c>
      <c r="P131" s="142">
        <f t="shared" si="17"/>
        <v>0</v>
      </c>
      <c r="Q131" s="142">
        <f t="shared" ca="1" si="15"/>
        <v>3</v>
      </c>
      <c r="R131" s="142">
        <f t="shared" si="18"/>
        <v>3</v>
      </c>
      <c r="S131" s="218"/>
      <c r="T131" s="218"/>
      <c r="U131" s="219"/>
      <c r="V131" s="220"/>
      <c r="W131" s="218"/>
      <c r="X131" s="220"/>
      <c r="Y131" s="217"/>
      <c r="Z131" s="17"/>
    </row>
    <row r="132" spans="1:26" ht="32.1" customHeight="1" x14ac:dyDescent="0.2">
      <c r="A132" s="44" t="s">
        <v>680</v>
      </c>
      <c r="B132" s="44" t="s">
        <v>681</v>
      </c>
      <c r="C132" s="44" t="s">
        <v>685</v>
      </c>
      <c r="D132" s="44" t="s">
        <v>226</v>
      </c>
      <c r="E132" s="45">
        <f t="shared" si="20"/>
        <v>37</v>
      </c>
      <c r="F132" s="142" t="s">
        <v>656</v>
      </c>
      <c r="G132" s="142" t="s">
        <v>650</v>
      </c>
      <c r="H132" s="142" t="s">
        <v>650</v>
      </c>
      <c r="I132" s="142" t="s">
        <v>650</v>
      </c>
      <c r="J132" s="142" t="s">
        <v>650</v>
      </c>
      <c r="K132" s="142" t="s">
        <v>651</v>
      </c>
      <c r="L132" s="142">
        <v>1</v>
      </c>
      <c r="M132" s="142" t="str">
        <f t="shared" ca="1" si="14"/>
        <v>Aucune case cochée</v>
      </c>
      <c r="N132" s="142" t="str">
        <f t="shared" ca="1" si="19"/>
        <v>Aucune case cochée</v>
      </c>
      <c r="O132" s="47">
        <v>0</v>
      </c>
      <c r="P132" s="142">
        <f t="shared" si="17"/>
        <v>0</v>
      </c>
      <c r="Q132" s="142">
        <f t="shared" ca="1" si="15"/>
        <v>3</v>
      </c>
      <c r="R132" s="142">
        <f t="shared" si="18"/>
        <v>3</v>
      </c>
      <c r="S132" s="218"/>
      <c r="T132" s="218"/>
      <c r="U132" s="219"/>
      <c r="V132" s="220"/>
      <c r="W132" s="218"/>
      <c r="X132" s="220"/>
      <c r="Y132" s="217"/>
      <c r="Z132" s="17"/>
    </row>
    <row r="133" spans="1:26" ht="32.1" customHeight="1" x14ac:dyDescent="0.2">
      <c r="A133" s="44" t="s">
        <v>686</v>
      </c>
      <c r="B133" s="44" t="s">
        <v>687</v>
      </c>
      <c r="C133" s="44" t="s">
        <v>682</v>
      </c>
      <c r="D133" s="44" t="s">
        <v>228</v>
      </c>
      <c r="E133" s="45">
        <f t="shared" si="20"/>
        <v>10</v>
      </c>
      <c r="F133" s="142" t="s">
        <v>649</v>
      </c>
      <c r="G133" s="142" t="s">
        <v>650</v>
      </c>
      <c r="H133" s="142" t="s">
        <v>650</v>
      </c>
      <c r="I133" s="142" t="s">
        <v>651</v>
      </c>
      <c r="J133" s="142" t="s">
        <v>651</v>
      </c>
      <c r="K133" s="142" t="s">
        <v>210</v>
      </c>
      <c r="L133" s="142">
        <v>4</v>
      </c>
      <c r="M133" s="142" t="str">
        <f t="shared" ref="M133:M196" ca="1" si="21">IFERROR(INDEX(INDIRECT(B133 &amp; "!G" &amp; E133 &amp; ":M" &amp; E133), 1, MATCH(TRUE, INDIRECT(B133 &amp; "!G" &amp; (E133+1) &amp; ":M" &amp; (E133+1)), 0)), "Aucune case cochée")</f>
        <v>Aucune case cochée</v>
      </c>
      <c r="N133" s="142" t="str">
        <f t="shared" ca="1" si="19"/>
        <v>Aucune case cochée</v>
      </c>
      <c r="O133" s="47">
        <v>1</v>
      </c>
      <c r="P133" s="142">
        <f t="shared" si="17"/>
        <v>4</v>
      </c>
      <c r="Q133" s="142">
        <f t="shared" ref="Q133:Q196" ca="1" si="22">IF(N133="Non concerné",N133,R133)</f>
        <v>4</v>
      </c>
      <c r="R133" s="142">
        <f t="shared" si="18"/>
        <v>4</v>
      </c>
      <c r="S133" s="218">
        <f ca="1">SUM(P133:P139)</f>
        <v>8</v>
      </c>
      <c r="T133" s="218">
        <f>SUM(R133:R139)</f>
        <v>18</v>
      </c>
      <c r="U133" s="219">
        <f ca="1">+S133/T133</f>
        <v>0.44444444444444442</v>
      </c>
      <c r="V133" s="220">
        <v>0.5</v>
      </c>
      <c r="W133" s="222">
        <f ca="1">U133*V133+U140*V140</f>
        <v>0.34722222222222221</v>
      </c>
      <c r="X133" s="220">
        <v>7.4999999999999997E-2</v>
      </c>
      <c r="Y133" s="217"/>
      <c r="Z133" s="17"/>
    </row>
    <row r="134" spans="1:26" ht="32.1" customHeight="1" x14ac:dyDescent="0.2">
      <c r="A134" s="44" t="s">
        <v>686</v>
      </c>
      <c r="B134" s="44" t="s">
        <v>687</v>
      </c>
      <c r="C134" s="44" t="s">
        <v>682</v>
      </c>
      <c r="D134" s="44" t="s">
        <v>229</v>
      </c>
      <c r="E134" s="45">
        <f t="shared" si="20"/>
        <v>12</v>
      </c>
      <c r="F134" s="142" t="s">
        <v>649</v>
      </c>
      <c r="G134" s="142" t="s">
        <v>650</v>
      </c>
      <c r="H134" s="142" t="s">
        <v>650</v>
      </c>
      <c r="I134" s="142" t="s">
        <v>650</v>
      </c>
      <c r="J134" s="142" t="s">
        <v>651</v>
      </c>
      <c r="K134" s="142" t="s">
        <v>210</v>
      </c>
      <c r="L134" s="142">
        <v>1</v>
      </c>
      <c r="M134" s="142" t="str">
        <f t="shared" ca="1" si="21"/>
        <v>Aucune case cochée</v>
      </c>
      <c r="N134" s="146" t="str">
        <f ca="1">IF(M134="Aucune case cochée",M134,IF(M134&lt;&gt;"Plus de 1,5 m² par lit",0))</f>
        <v>Aucune case cochée</v>
      </c>
      <c r="O134" s="47" t="s">
        <v>688</v>
      </c>
      <c r="P134" s="142">
        <f ca="1">IF(M150="2m² par lit et plus",4,IF(M150="Entre 1m² et 2m² par lit",2,IF(M150="Entre 0,5m² et 1m² par lit",1,0)))</f>
        <v>0</v>
      </c>
      <c r="Q134" s="142">
        <f t="shared" ca="1" si="22"/>
        <v>4</v>
      </c>
      <c r="R134" s="142">
        <v>4</v>
      </c>
      <c r="S134" s="218"/>
      <c r="T134" s="218"/>
      <c r="U134" s="219"/>
      <c r="V134" s="220"/>
      <c r="W134" s="218"/>
      <c r="X134" s="220"/>
      <c r="Y134" s="217"/>
      <c r="Z134" s="17"/>
    </row>
    <row r="135" spans="1:26" ht="32.1" customHeight="1" x14ac:dyDescent="0.2">
      <c r="A135" s="44" t="s">
        <v>686</v>
      </c>
      <c r="B135" s="44" t="s">
        <v>687</v>
      </c>
      <c r="C135" s="44" t="s">
        <v>682</v>
      </c>
      <c r="D135" s="44" t="s">
        <v>689</v>
      </c>
      <c r="E135" s="45">
        <f t="shared" si="20"/>
        <v>14</v>
      </c>
      <c r="F135" s="142" t="s">
        <v>656</v>
      </c>
      <c r="G135" s="142" t="s">
        <v>650</v>
      </c>
      <c r="H135" s="142" t="s">
        <v>650</v>
      </c>
      <c r="I135" s="142" t="s">
        <v>650</v>
      </c>
      <c r="J135" s="142" t="s">
        <v>650</v>
      </c>
      <c r="K135" s="142" t="s">
        <v>210</v>
      </c>
      <c r="L135" s="142">
        <v>1</v>
      </c>
      <c r="M135" s="142" t="str">
        <f t="shared" ca="1" si="21"/>
        <v>Aucune case cochée</v>
      </c>
      <c r="N135" s="142" t="str">
        <f ca="1">IF(M135="Aucune case cochée",M135,IF(M135="NC","Non concerné",IF(M135="Oui",1*L135,IF(M135="Non",0,L135*M135))))</f>
        <v>Aucune case cochée</v>
      </c>
      <c r="O135" s="47">
        <v>0</v>
      </c>
      <c r="P135" s="142">
        <f t="shared" ref="P135:P149" si="23">IF(O135="Non concerné",O135,O135*L135)</f>
        <v>0</v>
      </c>
      <c r="Q135" s="142">
        <f t="shared" ca="1" si="22"/>
        <v>3</v>
      </c>
      <c r="R135" s="142">
        <f t="shared" si="18"/>
        <v>3</v>
      </c>
      <c r="S135" s="218"/>
      <c r="T135" s="218"/>
      <c r="U135" s="219"/>
      <c r="V135" s="220"/>
      <c r="W135" s="218"/>
      <c r="X135" s="220"/>
      <c r="Y135" s="217"/>
      <c r="Z135" s="17"/>
    </row>
    <row r="136" spans="1:26" ht="32.1" customHeight="1" x14ac:dyDescent="0.2">
      <c r="A136" s="44" t="s">
        <v>686</v>
      </c>
      <c r="B136" s="44" t="s">
        <v>687</v>
      </c>
      <c r="C136" s="44" t="s">
        <v>682</v>
      </c>
      <c r="D136" s="44" t="s">
        <v>690</v>
      </c>
      <c r="E136" s="45">
        <f t="shared" si="20"/>
        <v>16</v>
      </c>
      <c r="F136" s="142" t="s">
        <v>656</v>
      </c>
      <c r="G136" s="142" t="s">
        <v>650</v>
      </c>
      <c r="H136" s="142" t="s">
        <v>650</v>
      </c>
      <c r="I136" s="142" t="s">
        <v>650</v>
      </c>
      <c r="J136" s="142" t="s">
        <v>650</v>
      </c>
      <c r="K136" s="142" t="s">
        <v>210</v>
      </c>
      <c r="L136" s="142">
        <v>1</v>
      </c>
      <c r="M136" s="142" t="str">
        <f t="shared" ca="1" si="21"/>
        <v>Aucune case cochée</v>
      </c>
      <c r="N136" s="142" t="str">
        <f t="shared" ref="N136:N149" ca="1" si="24">IF(M136="Aucune case cochée",M136,IF(M136="NC","Non concerné",IF(M136="Oui",1*L136,IF(M136="Non",0,L136*M136))))</f>
        <v>Aucune case cochée</v>
      </c>
      <c r="O136" s="47">
        <v>0</v>
      </c>
      <c r="P136" s="142">
        <f t="shared" si="23"/>
        <v>0</v>
      </c>
      <c r="Q136" s="142">
        <f t="shared" ca="1" si="22"/>
        <v>3</v>
      </c>
      <c r="R136" s="142">
        <f t="shared" si="18"/>
        <v>3</v>
      </c>
      <c r="S136" s="218"/>
      <c r="T136" s="218"/>
      <c r="U136" s="219"/>
      <c r="V136" s="220"/>
      <c r="W136" s="218"/>
      <c r="X136" s="220"/>
      <c r="Y136" s="217"/>
      <c r="Z136" s="17"/>
    </row>
    <row r="137" spans="1:26" ht="32.1" customHeight="1" x14ac:dyDescent="0.2">
      <c r="A137" s="44" t="s">
        <v>686</v>
      </c>
      <c r="B137" s="44" t="s">
        <v>687</v>
      </c>
      <c r="C137" s="44" t="s">
        <v>682</v>
      </c>
      <c r="D137" s="44" t="s">
        <v>236</v>
      </c>
      <c r="E137" s="45">
        <f t="shared" si="20"/>
        <v>18</v>
      </c>
      <c r="F137" s="142" t="s">
        <v>649</v>
      </c>
      <c r="G137" s="142" t="s">
        <v>650</v>
      </c>
      <c r="H137" s="142" t="s">
        <v>650</v>
      </c>
      <c r="I137" s="142" t="s">
        <v>650</v>
      </c>
      <c r="J137" s="142" t="s">
        <v>651</v>
      </c>
      <c r="K137" s="142" t="s">
        <v>210</v>
      </c>
      <c r="L137" s="142">
        <v>2</v>
      </c>
      <c r="M137" s="142" t="str">
        <f t="shared" ca="1" si="21"/>
        <v>Aucune case cochée</v>
      </c>
      <c r="N137" s="142" t="str">
        <f t="shared" ca="1" si="24"/>
        <v>Aucune case cochée</v>
      </c>
      <c r="O137" s="47">
        <v>1</v>
      </c>
      <c r="P137" s="142">
        <f t="shared" si="23"/>
        <v>2</v>
      </c>
      <c r="Q137" s="142">
        <f t="shared" ca="1" si="22"/>
        <v>2</v>
      </c>
      <c r="R137" s="142">
        <f t="shared" si="18"/>
        <v>2</v>
      </c>
      <c r="S137" s="218"/>
      <c r="T137" s="218"/>
      <c r="U137" s="219"/>
      <c r="V137" s="220"/>
      <c r="W137" s="218"/>
      <c r="X137" s="220"/>
      <c r="Y137" s="217"/>
      <c r="Z137" s="17"/>
    </row>
    <row r="138" spans="1:26" s="50" customFormat="1" ht="32.1" customHeight="1" x14ac:dyDescent="0.2">
      <c r="A138" s="44" t="s">
        <v>686</v>
      </c>
      <c r="B138" s="44" t="s">
        <v>687</v>
      </c>
      <c r="C138" s="44" t="s">
        <v>682</v>
      </c>
      <c r="D138" s="48" t="s">
        <v>237</v>
      </c>
      <c r="E138" s="45">
        <f t="shared" si="20"/>
        <v>20</v>
      </c>
      <c r="F138" s="143" t="s">
        <v>649</v>
      </c>
      <c r="G138" s="143" t="s">
        <v>651</v>
      </c>
      <c r="H138" s="143" t="s">
        <v>651</v>
      </c>
      <c r="I138" s="143" t="s">
        <v>651</v>
      </c>
      <c r="J138" s="143" t="s">
        <v>651</v>
      </c>
      <c r="K138" s="143" t="s">
        <v>210</v>
      </c>
      <c r="L138" s="143">
        <v>1</v>
      </c>
      <c r="M138" s="142" t="str">
        <f t="shared" ca="1" si="21"/>
        <v>Aucune case cochée</v>
      </c>
      <c r="N138" s="142" t="str">
        <f t="shared" ca="1" si="24"/>
        <v>Aucune case cochée</v>
      </c>
      <c r="O138" s="47">
        <v>1</v>
      </c>
      <c r="P138" s="142">
        <f t="shared" si="23"/>
        <v>1</v>
      </c>
      <c r="Q138" s="142">
        <f t="shared" ca="1" si="22"/>
        <v>1</v>
      </c>
      <c r="R138" s="142">
        <f t="shared" si="18"/>
        <v>1</v>
      </c>
      <c r="S138" s="218"/>
      <c r="T138" s="218"/>
      <c r="U138" s="219"/>
      <c r="V138" s="220"/>
      <c r="W138" s="218"/>
      <c r="X138" s="220"/>
      <c r="Y138" s="217"/>
      <c r="Z138" s="49"/>
    </row>
    <row r="139" spans="1:26" ht="32.1" customHeight="1" x14ac:dyDescent="0.2">
      <c r="A139" s="44" t="s">
        <v>686</v>
      </c>
      <c r="B139" s="44" t="s">
        <v>687</v>
      </c>
      <c r="C139" s="44" t="s">
        <v>682</v>
      </c>
      <c r="D139" s="44" t="s">
        <v>238</v>
      </c>
      <c r="E139" s="45">
        <f t="shared" si="20"/>
        <v>22</v>
      </c>
      <c r="F139" s="142" t="s">
        <v>649</v>
      </c>
      <c r="G139" s="142" t="s">
        <v>651</v>
      </c>
      <c r="H139" s="142" t="s">
        <v>651</v>
      </c>
      <c r="I139" s="142" t="s">
        <v>651</v>
      </c>
      <c r="J139" s="142" t="s">
        <v>651</v>
      </c>
      <c r="K139" s="142" t="s">
        <v>210</v>
      </c>
      <c r="L139" s="142">
        <v>1</v>
      </c>
      <c r="M139" s="142" t="str">
        <f t="shared" ca="1" si="21"/>
        <v>Aucune case cochée</v>
      </c>
      <c r="N139" s="142" t="str">
        <f t="shared" ca="1" si="24"/>
        <v>Aucune case cochée</v>
      </c>
      <c r="O139" s="47">
        <v>1</v>
      </c>
      <c r="P139" s="142">
        <f t="shared" si="23"/>
        <v>1</v>
      </c>
      <c r="Q139" s="142">
        <f t="shared" ca="1" si="22"/>
        <v>1</v>
      </c>
      <c r="R139" s="142">
        <f t="shared" si="18"/>
        <v>1</v>
      </c>
      <c r="S139" s="218"/>
      <c r="T139" s="218"/>
      <c r="U139" s="219"/>
      <c r="V139" s="220"/>
      <c r="W139" s="218"/>
      <c r="X139" s="220"/>
      <c r="Y139" s="217"/>
      <c r="Z139" s="17"/>
    </row>
    <row r="140" spans="1:26" ht="32.1" customHeight="1" x14ac:dyDescent="0.2">
      <c r="A140" s="44" t="s">
        <v>686</v>
      </c>
      <c r="B140" s="44" t="s">
        <v>687</v>
      </c>
      <c r="C140" s="44" t="s">
        <v>685</v>
      </c>
      <c r="D140" s="44" t="s">
        <v>221</v>
      </c>
      <c r="E140" s="45">
        <f t="shared" si="20"/>
        <v>25</v>
      </c>
      <c r="F140" s="142" t="s">
        <v>656</v>
      </c>
      <c r="G140" s="142" t="s">
        <v>650</v>
      </c>
      <c r="H140" s="142" t="s">
        <v>650</v>
      </c>
      <c r="I140" s="142" t="s">
        <v>650</v>
      </c>
      <c r="J140" s="142" t="s">
        <v>650</v>
      </c>
      <c r="K140" s="142" t="s">
        <v>210</v>
      </c>
      <c r="L140" s="142">
        <v>1</v>
      </c>
      <c r="M140" s="142" t="str">
        <f t="shared" ca="1" si="21"/>
        <v>Aucune case cochée</v>
      </c>
      <c r="N140" s="142" t="str">
        <f t="shared" ca="1" si="24"/>
        <v>Aucune case cochée</v>
      </c>
      <c r="O140" s="47">
        <v>0</v>
      </c>
      <c r="P140" s="142">
        <f t="shared" si="23"/>
        <v>0</v>
      </c>
      <c r="Q140" s="142">
        <f t="shared" ca="1" si="22"/>
        <v>3</v>
      </c>
      <c r="R140" s="142">
        <f t="shared" si="18"/>
        <v>3</v>
      </c>
      <c r="S140" s="218">
        <f>SUM(P140:P148)</f>
        <v>6</v>
      </c>
      <c r="T140" s="218">
        <f>SUM(R140:R148)</f>
        <v>24</v>
      </c>
      <c r="U140" s="219">
        <f>+S140/T140</f>
        <v>0.25</v>
      </c>
      <c r="V140" s="220">
        <v>0.5</v>
      </c>
      <c r="W140" s="218"/>
      <c r="X140" s="220"/>
      <c r="Y140" s="217"/>
      <c r="Z140" s="17"/>
    </row>
    <row r="141" spans="1:26" ht="32.1" customHeight="1" x14ac:dyDescent="0.2">
      <c r="A141" s="44" t="s">
        <v>686</v>
      </c>
      <c r="B141" s="44" t="s">
        <v>687</v>
      </c>
      <c r="C141" s="44" t="s">
        <v>685</v>
      </c>
      <c r="D141" s="44" t="s">
        <v>691</v>
      </c>
      <c r="E141" s="45">
        <f t="shared" si="20"/>
        <v>27</v>
      </c>
      <c r="F141" s="142" t="s">
        <v>656</v>
      </c>
      <c r="G141" s="142" t="s">
        <v>650</v>
      </c>
      <c r="H141" s="142" t="s">
        <v>650</v>
      </c>
      <c r="I141" s="142" t="s">
        <v>650</v>
      </c>
      <c r="J141" s="142" t="s">
        <v>650</v>
      </c>
      <c r="K141" s="142" t="s">
        <v>210</v>
      </c>
      <c r="L141" s="142">
        <v>1</v>
      </c>
      <c r="M141" s="142" t="str">
        <f t="shared" ca="1" si="21"/>
        <v>Aucune case cochée</v>
      </c>
      <c r="N141" s="142" t="str">
        <f t="shared" ca="1" si="24"/>
        <v>Aucune case cochée</v>
      </c>
      <c r="O141" s="47">
        <v>0</v>
      </c>
      <c r="P141" s="142">
        <f t="shared" si="23"/>
        <v>0</v>
      </c>
      <c r="Q141" s="142">
        <f t="shared" ca="1" si="22"/>
        <v>3</v>
      </c>
      <c r="R141" s="142">
        <f t="shared" si="18"/>
        <v>3</v>
      </c>
      <c r="S141" s="218"/>
      <c r="T141" s="218"/>
      <c r="U141" s="219"/>
      <c r="V141" s="220"/>
      <c r="W141" s="218"/>
      <c r="X141" s="220"/>
      <c r="Y141" s="217"/>
      <c r="Z141" s="17"/>
    </row>
    <row r="142" spans="1:26" ht="32.1" customHeight="1" x14ac:dyDescent="0.2">
      <c r="A142" s="44" t="s">
        <v>686</v>
      </c>
      <c r="B142" s="44" t="s">
        <v>687</v>
      </c>
      <c r="C142" s="44" t="s">
        <v>685</v>
      </c>
      <c r="D142" s="44" t="s">
        <v>223</v>
      </c>
      <c r="E142" s="45">
        <f t="shared" si="20"/>
        <v>29</v>
      </c>
      <c r="F142" s="142" t="s">
        <v>656</v>
      </c>
      <c r="G142" s="142" t="s">
        <v>650</v>
      </c>
      <c r="H142" s="142" t="s">
        <v>650</v>
      </c>
      <c r="I142" s="142" t="s">
        <v>650</v>
      </c>
      <c r="J142" s="142" t="s">
        <v>650</v>
      </c>
      <c r="K142" s="142" t="s">
        <v>210</v>
      </c>
      <c r="L142" s="142">
        <v>1</v>
      </c>
      <c r="M142" s="142" t="str">
        <f t="shared" ca="1" si="21"/>
        <v>Aucune case cochée</v>
      </c>
      <c r="N142" s="142" t="str">
        <f t="shared" ca="1" si="24"/>
        <v>Aucune case cochée</v>
      </c>
      <c r="O142" s="47">
        <v>0</v>
      </c>
      <c r="P142" s="142">
        <f t="shared" si="23"/>
        <v>0</v>
      </c>
      <c r="Q142" s="142">
        <f t="shared" ca="1" si="22"/>
        <v>3</v>
      </c>
      <c r="R142" s="142">
        <f t="shared" si="18"/>
        <v>3</v>
      </c>
      <c r="S142" s="218"/>
      <c r="T142" s="218"/>
      <c r="U142" s="219"/>
      <c r="V142" s="220"/>
      <c r="W142" s="218"/>
      <c r="X142" s="220"/>
      <c r="Y142" s="217"/>
      <c r="Z142" s="17"/>
    </row>
    <row r="143" spans="1:26" ht="32.1" customHeight="1" x14ac:dyDescent="0.2">
      <c r="A143" s="44" t="s">
        <v>686</v>
      </c>
      <c r="B143" s="44" t="s">
        <v>687</v>
      </c>
      <c r="C143" s="44" t="s">
        <v>685</v>
      </c>
      <c r="D143" s="44" t="s">
        <v>224</v>
      </c>
      <c r="E143" s="45">
        <f t="shared" si="20"/>
        <v>31</v>
      </c>
      <c r="F143" s="142" t="s">
        <v>656</v>
      </c>
      <c r="G143" s="142" t="s">
        <v>650</v>
      </c>
      <c r="H143" s="142" t="s">
        <v>650</v>
      </c>
      <c r="I143" s="142" t="s">
        <v>650</v>
      </c>
      <c r="J143" s="142" t="s">
        <v>650</v>
      </c>
      <c r="K143" s="142" t="s">
        <v>210</v>
      </c>
      <c r="L143" s="142">
        <v>1</v>
      </c>
      <c r="M143" s="142" t="str">
        <f t="shared" ca="1" si="21"/>
        <v>Aucune case cochée</v>
      </c>
      <c r="N143" s="142" t="str">
        <f t="shared" ca="1" si="24"/>
        <v>Aucune case cochée</v>
      </c>
      <c r="O143" s="47">
        <v>0</v>
      </c>
      <c r="P143" s="142">
        <f t="shared" si="23"/>
        <v>0</v>
      </c>
      <c r="Q143" s="142">
        <f t="shared" ca="1" si="22"/>
        <v>3</v>
      </c>
      <c r="R143" s="142">
        <f t="shared" si="18"/>
        <v>3</v>
      </c>
      <c r="S143" s="218"/>
      <c r="T143" s="218"/>
      <c r="U143" s="219"/>
      <c r="V143" s="220"/>
      <c r="W143" s="218"/>
      <c r="X143" s="220"/>
      <c r="Y143" s="217"/>
      <c r="Z143" s="17"/>
    </row>
    <row r="144" spans="1:26" s="50" customFormat="1" ht="32.1" customHeight="1" x14ac:dyDescent="0.2">
      <c r="A144" s="44" t="s">
        <v>686</v>
      </c>
      <c r="B144" s="44" t="s">
        <v>687</v>
      </c>
      <c r="C144" s="44" t="s">
        <v>685</v>
      </c>
      <c r="D144" s="48" t="s">
        <v>241</v>
      </c>
      <c r="E144" s="45">
        <f t="shared" si="20"/>
        <v>33</v>
      </c>
      <c r="F144" s="143" t="s">
        <v>649</v>
      </c>
      <c r="G144" s="142" t="s">
        <v>650</v>
      </c>
      <c r="H144" s="142" t="s">
        <v>650</v>
      </c>
      <c r="I144" s="142" t="s">
        <v>651</v>
      </c>
      <c r="J144" s="142" t="s">
        <v>210</v>
      </c>
      <c r="K144" s="142" t="s">
        <v>210</v>
      </c>
      <c r="L144" s="142">
        <v>2</v>
      </c>
      <c r="M144" s="142" t="str">
        <f t="shared" ca="1" si="21"/>
        <v>Aucune case cochée</v>
      </c>
      <c r="N144" s="142" t="str">
        <f t="shared" ca="1" si="24"/>
        <v>Aucune case cochée</v>
      </c>
      <c r="O144" s="47">
        <v>1</v>
      </c>
      <c r="P144" s="142">
        <f t="shared" si="23"/>
        <v>2</v>
      </c>
      <c r="Q144" s="142">
        <f t="shared" ca="1" si="22"/>
        <v>2</v>
      </c>
      <c r="R144" s="142">
        <f t="shared" si="18"/>
        <v>2</v>
      </c>
      <c r="S144" s="218"/>
      <c r="T144" s="218"/>
      <c r="U144" s="219"/>
      <c r="V144" s="220"/>
      <c r="W144" s="218"/>
      <c r="X144" s="220"/>
      <c r="Y144" s="217"/>
      <c r="Z144" s="49"/>
    </row>
    <row r="145" spans="1:26" ht="32.1" customHeight="1" x14ac:dyDescent="0.2">
      <c r="A145" s="44" t="s">
        <v>686</v>
      </c>
      <c r="B145" s="44" t="s">
        <v>687</v>
      </c>
      <c r="C145" s="44" t="s">
        <v>685</v>
      </c>
      <c r="D145" s="44" t="s">
        <v>225</v>
      </c>
      <c r="E145" s="45">
        <f t="shared" si="20"/>
        <v>35</v>
      </c>
      <c r="F145" s="142" t="s">
        <v>656</v>
      </c>
      <c r="G145" s="142" t="s">
        <v>650</v>
      </c>
      <c r="H145" s="142" t="s">
        <v>650</v>
      </c>
      <c r="I145" s="142" t="s">
        <v>650</v>
      </c>
      <c r="J145" s="142" t="s">
        <v>650</v>
      </c>
      <c r="K145" s="142" t="s">
        <v>210</v>
      </c>
      <c r="L145" s="142">
        <v>1</v>
      </c>
      <c r="M145" s="142" t="str">
        <f t="shared" ca="1" si="21"/>
        <v>Aucune case cochée</v>
      </c>
      <c r="N145" s="142" t="str">
        <f t="shared" ca="1" si="24"/>
        <v>Aucune case cochée</v>
      </c>
      <c r="O145" s="47">
        <v>0</v>
      </c>
      <c r="P145" s="142">
        <f t="shared" si="23"/>
        <v>0</v>
      </c>
      <c r="Q145" s="142">
        <f t="shared" ca="1" si="22"/>
        <v>3</v>
      </c>
      <c r="R145" s="142">
        <f t="shared" si="18"/>
        <v>3</v>
      </c>
      <c r="S145" s="218"/>
      <c r="T145" s="218"/>
      <c r="U145" s="219"/>
      <c r="V145" s="220"/>
      <c r="W145" s="218"/>
      <c r="X145" s="220"/>
      <c r="Y145" s="217"/>
      <c r="Z145" s="17"/>
    </row>
    <row r="146" spans="1:26" ht="32.1" customHeight="1" x14ac:dyDescent="0.2">
      <c r="A146" s="44" t="s">
        <v>686</v>
      </c>
      <c r="B146" s="44" t="s">
        <v>687</v>
      </c>
      <c r="C146" s="44" t="s">
        <v>685</v>
      </c>
      <c r="D146" s="44" t="s">
        <v>226</v>
      </c>
      <c r="E146" s="45">
        <f t="shared" si="20"/>
        <v>37</v>
      </c>
      <c r="F146" s="142" t="s">
        <v>656</v>
      </c>
      <c r="G146" s="142" t="s">
        <v>650</v>
      </c>
      <c r="H146" s="142" t="s">
        <v>650</v>
      </c>
      <c r="I146" s="142" t="s">
        <v>650</v>
      </c>
      <c r="J146" s="142" t="s">
        <v>650</v>
      </c>
      <c r="K146" s="142" t="s">
        <v>210</v>
      </c>
      <c r="L146" s="142">
        <v>1</v>
      </c>
      <c r="M146" s="142" t="str">
        <f t="shared" ca="1" si="21"/>
        <v>Aucune case cochée</v>
      </c>
      <c r="N146" s="142" t="str">
        <f t="shared" ca="1" si="24"/>
        <v>Aucune case cochée</v>
      </c>
      <c r="O146" s="47">
        <v>0</v>
      </c>
      <c r="P146" s="142">
        <f t="shared" si="23"/>
        <v>0</v>
      </c>
      <c r="Q146" s="142">
        <f t="shared" ca="1" si="22"/>
        <v>3</v>
      </c>
      <c r="R146" s="142">
        <f t="shared" si="18"/>
        <v>3</v>
      </c>
      <c r="S146" s="218"/>
      <c r="T146" s="218"/>
      <c r="U146" s="219"/>
      <c r="V146" s="220"/>
      <c r="W146" s="218"/>
      <c r="X146" s="220"/>
      <c r="Y146" s="217"/>
      <c r="Z146" s="17"/>
    </row>
    <row r="147" spans="1:26" ht="32.1" customHeight="1" x14ac:dyDescent="0.2">
      <c r="A147" s="44" t="s">
        <v>686</v>
      </c>
      <c r="B147" s="44" t="s">
        <v>687</v>
      </c>
      <c r="C147" s="44" t="s">
        <v>685</v>
      </c>
      <c r="D147" s="44" t="s">
        <v>242</v>
      </c>
      <c r="E147" s="45">
        <f t="shared" si="20"/>
        <v>39</v>
      </c>
      <c r="F147" s="142" t="s">
        <v>649</v>
      </c>
      <c r="G147" s="142" t="s">
        <v>650</v>
      </c>
      <c r="H147" s="142" t="s">
        <v>650</v>
      </c>
      <c r="I147" s="142" t="s">
        <v>650</v>
      </c>
      <c r="J147" s="142" t="s">
        <v>651</v>
      </c>
      <c r="K147" s="142" t="s">
        <v>210</v>
      </c>
      <c r="L147" s="142">
        <v>2</v>
      </c>
      <c r="M147" s="142" t="str">
        <f t="shared" ca="1" si="21"/>
        <v>Aucune case cochée</v>
      </c>
      <c r="N147" s="142" t="str">
        <f t="shared" ca="1" si="24"/>
        <v>Aucune case cochée</v>
      </c>
      <c r="O147" s="47">
        <v>1</v>
      </c>
      <c r="P147" s="142">
        <f t="shared" si="23"/>
        <v>2</v>
      </c>
      <c r="Q147" s="142">
        <f t="shared" ca="1" si="22"/>
        <v>2</v>
      </c>
      <c r="R147" s="142">
        <f t="shared" si="18"/>
        <v>2</v>
      </c>
      <c r="S147" s="218"/>
      <c r="T147" s="218"/>
      <c r="U147" s="219"/>
      <c r="V147" s="220"/>
      <c r="W147" s="218"/>
      <c r="X147" s="220"/>
      <c r="Y147" s="217"/>
      <c r="Z147" s="17"/>
    </row>
    <row r="148" spans="1:26" ht="32.1" customHeight="1" x14ac:dyDescent="0.2">
      <c r="A148" s="44" t="s">
        <v>686</v>
      </c>
      <c r="B148" s="44" t="s">
        <v>687</v>
      </c>
      <c r="C148" s="44" t="s">
        <v>685</v>
      </c>
      <c r="D148" s="44" t="s">
        <v>243</v>
      </c>
      <c r="E148" s="45">
        <f t="shared" si="20"/>
        <v>41</v>
      </c>
      <c r="F148" s="142" t="s">
        <v>649</v>
      </c>
      <c r="G148" s="142" t="s">
        <v>650</v>
      </c>
      <c r="H148" s="142" t="s">
        <v>651</v>
      </c>
      <c r="I148" s="142" t="s">
        <v>651</v>
      </c>
      <c r="J148" s="142" t="s">
        <v>210</v>
      </c>
      <c r="K148" s="142" t="s">
        <v>210</v>
      </c>
      <c r="L148" s="142">
        <v>2</v>
      </c>
      <c r="M148" s="142" t="str">
        <f t="shared" ca="1" si="21"/>
        <v>Aucune case cochée</v>
      </c>
      <c r="N148" s="142" t="str">
        <f t="shared" ca="1" si="24"/>
        <v>Aucune case cochée</v>
      </c>
      <c r="O148" s="47">
        <v>1</v>
      </c>
      <c r="P148" s="142">
        <f t="shared" si="23"/>
        <v>2</v>
      </c>
      <c r="Q148" s="142">
        <f t="shared" ca="1" si="22"/>
        <v>2</v>
      </c>
      <c r="R148" s="142">
        <f t="shared" si="18"/>
        <v>2</v>
      </c>
      <c r="S148" s="218"/>
      <c r="T148" s="218"/>
      <c r="U148" s="219"/>
      <c r="V148" s="220"/>
      <c r="W148" s="218"/>
      <c r="X148" s="220"/>
      <c r="Y148" s="217"/>
      <c r="Z148" s="17"/>
    </row>
    <row r="149" spans="1:26" ht="32.1" customHeight="1" x14ac:dyDescent="0.2">
      <c r="A149" s="44" t="s">
        <v>692</v>
      </c>
      <c r="B149" s="44" t="s">
        <v>693</v>
      </c>
      <c r="C149" s="44" t="s">
        <v>682</v>
      </c>
      <c r="D149" s="44" t="s">
        <v>245</v>
      </c>
      <c r="E149" s="45">
        <f t="shared" si="20"/>
        <v>10</v>
      </c>
      <c r="F149" s="142" t="s">
        <v>649</v>
      </c>
      <c r="G149" s="142" t="s">
        <v>650</v>
      </c>
      <c r="H149" s="142" t="s">
        <v>651</v>
      </c>
      <c r="I149" s="142" t="s">
        <v>210</v>
      </c>
      <c r="J149" s="142" t="s">
        <v>210</v>
      </c>
      <c r="K149" s="142" t="s">
        <v>210</v>
      </c>
      <c r="L149" s="142">
        <v>4</v>
      </c>
      <c r="M149" s="142" t="str">
        <f t="shared" ca="1" si="21"/>
        <v>Aucune case cochée</v>
      </c>
      <c r="N149" s="142" t="str">
        <f t="shared" ca="1" si="24"/>
        <v>Aucune case cochée</v>
      </c>
      <c r="O149" s="47">
        <v>1</v>
      </c>
      <c r="P149" s="142">
        <f t="shared" si="23"/>
        <v>4</v>
      </c>
      <c r="Q149" s="142">
        <f t="shared" ca="1" si="22"/>
        <v>4</v>
      </c>
      <c r="R149" s="142">
        <f t="shared" si="18"/>
        <v>4</v>
      </c>
      <c r="S149" s="218">
        <f ca="1">SUM(P149:P154)</f>
        <v>7</v>
      </c>
      <c r="T149" s="218">
        <f>SUM(R149:R154)</f>
        <v>17</v>
      </c>
      <c r="U149" s="219">
        <f ca="1">+S149/T149</f>
        <v>0.41176470588235292</v>
      </c>
      <c r="V149" s="220">
        <v>0.5</v>
      </c>
      <c r="W149" s="222">
        <f ca="1">U149*V149+U155*V155</f>
        <v>0.33088235294117646</v>
      </c>
      <c r="X149" s="220">
        <v>0.03</v>
      </c>
      <c r="Y149" s="217"/>
      <c r="Z149" s="17"/>
    </row>
    <row r="150" spans="1:26" ht="32.1" customHeight="1" x14ac:dyDescent="0.2">
      <c r="A150" s="44" t="s">
        <v>692</v>
      </c>
      <c r="B150" s="44" t="s">
        <v>693</v>
      </c>
      <c r="C150" s="44" t="s">
        <v>682</v>
      </c>
      <c r="D150" s="44" t="s">
        <v>229</v>
      </c>
      <c r="E150" s="45">
        <f t="shared" si="20"/>
        <v>12</v>
      </c>
      <c r="F150" s="142" t="s">
        <v>649</v>
      </c>
      <c r="G150" s="142" t="s">
        <v>650</v>
      </c>
      <c r="H150" s="142" t="s">
        <v>651</v>
      </c>
      <c r="I150" s="142" t="s">
        <v>210</v>
      </c>
      <c r="J150" s="142" t="s">
        <v>210</v>
      </c>
      <c r="K150" s="142" t="s">
        <v>210</v>
      </c>
      <c r="L150" s="142">
        <v>1</v>
      </c>
      <c r="M150" s="142" t="str">
        <f t="shared" ca="1" si="21"/>
        <v>Aucune case cochée</v>
      </c>
      <c r="N150" s="146" t="str">
        <f ca="1">IF(M150="Aucune case cochée",M150,IF(M150&lt;&gt;"Plus de 1,5 m² par lit",0))</f>
        <v>Aucune case cochée</v>
      </c>
      <c r="O150" s="47" t="s">
        <v>688</v>
      </c>
      <c r="P150" s="142">
        <f ca="1">IF(M150="2m² par lit et plus",4,IF(M150="Entre 1m² et 2m² par lit",2,IF(M150="Entre 0,5m² et 1m² par lit",1,0)))</f>
        <v>0</v>
      </c>
      <c r="Q150" s="142">
        <f t="shared" ca="1" si="22"/>
        <v>4</v>
      </c>
      <c r="R150" s="142">
        <v>4</v>
      </c>
      <c r="S150" s="218"/>
      <c r="T150" s="218"/>
      <c r="U150" s="219"/>
      <c r="V150" s="220"/>
      <c r="W150" s="218"/>
      <c r="X150" s="220"/>
      <c r="Y150" s="217"/>
      <c r="Z150" s="17"/>
    </row>
    <row r="151" spans="1:26" ht="32.1" customHeight="1" x14ac:dyDescent="0.2">
      <c r="A151" s="44" t="s">
        <v>692</v>
      </c>
      <c r="B151" s="44" t="s">
        <v>693</v>
      </c>
      <c r="C151" s="44" t="s">
        <v>682</v>
      </c>
      <c r="D151" s="44" t="s">
        <v>689</v>
      </c>
      <c r="E151" s="45">
        <f t="shared" si="20"/>
        <v>14</v>
      </c>
      <c r="F151" s="142" t="s">
        <v>656</v>
      </c>
      <c r="G151" s="142" t="s">
        <v>650</v>
      </c>
      <c r="H151" s="142" t="s">
        <v>651</v>
      </c>
      <c r="I151" s="142" t="s">
        <v>210</v>
      </c>
      <c r="J151" s="142" t="s">
        <v>210</v>
      </c>
      <c r="K151" s="142" t="s">
        <v>210</v>
      </c>
      <c r="L151" s="142">
        <v>1</v>
      </c>
      <c r="M151" s="142" t="str">
        <f t="shared" ca="1" si="21"/>
        <v>Aucune case cochée</v>
      </c>
      <c r="N151" s="142" t="str">
        <f ca="1">IF(M151="Aucune case cochée",M151,IF(M151="NC","Non concerné",IF(M151="Oui",1*L151,IF(M151="Non",0,L151*M151))))</f>
        <v>Aucune case cochée</v>
      </c>
      <c r="O151" s="47">
        <v>0</v>
      </c>
      <c r="P151" s="142">
        <f t="shared" ref="P151:P164" si="25">IF(O151="Non concerné",O151,O151*L151)</f>
        <v>0</v>
      </c>
      <c r="Q151" s="142">
        <f t="shared" ca="1" si="22"/>
        <v>3</v>
      </c>
      <c r="R151" s="142">
        <f t="shared" si="18"/>
        <v>3</v>
      </c>
      <c r="S151" s="218"/>
      <c r="T151" s="218"/>
      <c r="U151" s="219"/>
      <c r="V151" s="220"/>
      <c r="W151" s="218"/>
      <c r="X151" s="220"/>
      <c r="Y151" s="217"/>
      <c r="Z151" s="17"/>
    </row>
    <row r="152" spans="1:26" ht="32.1" customHeight="1" x14ac:dyDescent="0.2">
      <c r="A152" s="44" t="s">
        <v>692</v>
      </c>
      <c r="B152" s="44" t="s">
        <v>693</v>
      </c>
      <c r="C152" s="44" t="s">
        <v>682</v>
      </c>
      <c r="D152" s="44" t="s">
        <v>690</v>
      </c>
      <c r="E152" s="45">
        <f t="shared" si="20"/>
        <v>16</v>
      </c>
      <c r="F152" s="142" t="s">
        <v>656</v>
      </c>
      <c r="G152" s="142" t="s">
        <v>650</v>
      </c>
      <c r="H152" s="142" t="s">
        <v>651</v>
      </c>
      <c r="I152" s="142" t="s">
        <v>210</v>
      </c>
      <c r="J152" s="142" t="s">
        <v>210</v>
      </c>
      <c r="K152" s="142" t="s">
        <v>210</v>
      </c>
      <c r="L152" s="142">
        <v>1</v>
      </c>
      <c r="M152" s="142" t="str">
        <f t="shared" ca="1" si="21"/>
        <v>Aucune case cochée</v>
      </c>
      <c r="N152" s="142" t="str">
        <f t="shared" ref="N152:N164" ca="1" si="26">IF(M152="Aucune case cochée",M152,IF(M152="NC","Non concerné",IF(M152="Oui",1*L152,IF(M152="Non",0,L152*M152))))</f>
        <v>Aucune case cochée</v>
      </c>
      <c r="O152" s="47">
        <v>0</v>
      </c>
      <c r="P152" s="142">
        <f t="shared" si="25"/>
        <v>0</v>
      </c>
      <c r="Q152" s="142">
        <f t="shared" ca="1" si="22"/>
        <v>3</v>
      </c>
      <c r="R152" s="142">
        <f t="shared" si="18"/>
        <v>3</v>
      </c>
      <c r="S152" s="218"/>
      <c r="T152" s="218"/>
      <c r="U152" s="219"/>
      <c r="V152" s="220"/>
      <c r="W152" s="218"/>
      <c r="X152" s="220"/>
      <c r="Y152" s="217"/>
      <c r="Z152" s="17"/>
    </row>
    <row r="153" spans="1:26" ht="32.1" customHeight="1" x14ac:dyDescent="0.2">
      <c r="A153" s="44" t="s">
        <v>692</v>
      </c>
      <c r="B153" s="44" t="s">
        <v>693</v>
      </c>
      <c r="C153" s="44" t="s">
        <v>682</v>
      </c>
      <c r="D153" s="44" t="s">
        <v>236</v>
      </c>
      <c r="E153" s="45">
        <f t="shared" si="20"/>
        <v>18</v>
      </c>
      <c r="F153" s="142" t="s">
        <v>649</v>
      </c>
      <c r="G153" s="142" t="s">
        <v>650</v>
      </c>
      <c r="H153" s="142" t="s">
        <v>651</v>
      </c>
      <c r="I153" s="142" t="s">
        <v>210</v>
      </c>
      <c r="J153" s="142" t="s">
        <v>210</v>
      </c>
      <c r="K153" s="142" t="s">
        <v>210</v>
      </c>
      <c r="L153" s="142">
        <v>2</v>
      </c>
      <c r="M153" s="142" t="str">
        <f t="shared" ca="1" si="21"/>
        <v>Aucune case cochée</v>
      </c>
      <c r="N153" s="142" t="str">
        <f t="shared" ca="1" si="26"/>
        <v>Aucune case cochée</v>
      </c>
      <c r="O153" s="47">
        <v>1</v>
      </c>
      <c r="P153" s="142">
        <f t="shared" si="25"/>
        <v>2</v>
      </c>
      <c r="Q153" s="142">
        <f t="shared" ca="1" si="22"/>
        <v>2</v>
      </c>
      <c r="R153" s="142">
        <f t="shared" si="18"/>
        <v>2</v>
      </c>
      <c r="S153" s="218"/>
      <c r="T153" s="218"/>
      <c r="U153" s="219"/>
      <c r="V153" s="220"/>
      <c r="W153" s="218"/>
      <c r="X153" s="220"/>
      <c r="Y153" s="217"/>
      <c r="Z153" s="17"/>
    </row>
    <row r="154" spans="1:26" ht="32.1" customHeight="1" x14ac:dyDescent="0.2">
      <c r="A154" s="44" t="s">
        <v>692</v>
      </c>
      <c r="B154" s="44" t="s">
        <v>693</v>
      </c>
      <c r="C154" s="44" t="s">
        <v>682</v>
      </c>
      <c r="D154" s="44" t="s">
        <v>238</v>
      </c>
      <c r="E154" s="45">
        <f t="shared" si="20"/>
        <v>20</v>
      </c>
      <c r="F154" s="142" t="s">
        <v>649</v>
      </c>
      <c r="G154" s="142" t="s">
        <v>651</v>
      </c>
      <c r="H154" s="142" t="s">
        <v>651</v>
      </c>
      <c r="I154" s="142" t="s">
        <v>210</v>
      </c>
      <c r="J154" s="142" t="s">
        <v>210</v>
      </c>
      <c r="K154" s="142" t="s">
        <v>210</v>
      </c>
      <c r="L154" s="142">
        <v>1</v>
      </c>
      <c r="M154" s="142" t="str">
        <f t="shared" ca="1" si="21"/>
        <v>Aucune case cochée</v>
      </c>
      <c r="N154" s="142" t="str">
        <f t="shared" ca="1" si="26"/>
        <v>Aucune case cochée</v>
      </c>
      <c r="O154" s="47">
        <v>1</v>
      </c>
      <c r="P154" s="142">
        <f t="shared" si="25"/>
        <v>1</v>
      </c>
      <c r="Q154" s="142">
        <f t="shared" ca="1" si="22"/>
        <v>1</v>
      </c>
      <c r="R154" s="142">
        <f t="shared" si="18"/>
        <v>1</v>
      </c>
      <c r="S154" s="223"/>
      <c r="T154" s="223"/>
      <c r="U154" s="224"/>
      <c r="V154" s="225"/>
      <c r="W154" s="218"/>
      <c r="X154" s="220"/>
      <c r="Y154" s="217"/>
      <c r="Z154" s="17"/>
    </row>
    <row r="155" spans="1:26" ht="32.1" customHeight="1" x14ac:dyDescent="0.2">
      <c r="A155" s="44" t="s">
        <v>692</v>
      </c>
      <c r="B155" s="44" t="s">
        <v>693</v>
      </c>
      <c r="C155" s="44" t="s">
        <v>685</v>
      </c>
      <c r="D155" s="44" t="s">
        <v>221</v>
      </c>
      <c r="E155" s="45">
        <f t="shared" si="20"/>
        <v>23</v>
      </c>
      <c r="F155" s="142" t="s">
        <v>656</v>
      </c>
      <c r="G155" s="142" t="s">
        <v>650</v>
      </c>
      <c r="H155" s="142" t="s">
        <v>651</v>
      </c>
      <c r="I155" s="142" t="s">
        <v>210</v>
      </c>
      <c r="J155" s="142" t="s">
        <v>210</v>
      </c>
      <c r="K155" s="142" t="s">
        <v>210</v>
      </c>
      <c r="L155" s="142">
        <v>1</v>
      </c>
      <c r="M155" s="142" t="str">
        <f t="shared" ca="1" si="21"/>
        <v>Aucune case cochée</v>
      </c>
      <c r="N155" s="142" t="str">
        <f t="shared" ca="1" si="26"/>
        <v>Aucune case cochée</v>
      </c>
      <c r="O155" s="47">
        <v>0</v>
      </c>
      <c r="P155" s="142">
        <f t="shared" si="25"/>
        <v>0</v>
      </c>
      <c r="Q155" s="142">
        <f t="shared" ca="1" si="22"/>
        <v>3</v>
      </c>
      <c r="R155" s="142">
        <f t="shared" si="18"/>
        <v>3</v>
      </c>
      <c r="S155" s="218">
        <f>SUM(P155:P163)</f>
        <v>6</v>
      </c>
      <c r="T155" s="218">
        <f>SUM(R155:R163)</f>
        <v>24</v>
      </c>
      <c r="U155" s="219">
        <f>+S155/T155</f>
        <v>0.25</v>
      </c>
      <c r="V155" s="220">
        <v>0.5</v>
      </c>
      <c r="W155" s="226"/>
      <c r="X155" s="220"/>
      <c r="Y155" s="217"/>
      <c r="Z155" s="17"/>
    </row>
    <row r="156" spans="1:26" ht="32.1" customHeight="1" x14ac:dyDescent="0.2">
      <c r="A156" s="44" t="s">
        <v>692</v>
      </c>
      <c r="B156" s="44" t="s">
        <v>693</v>
      </c>
      <c r="C156" s="44" t="s">
        <v>685</v>
      </c>
      <c r="D156" s="44" t="s">
        <v>222</v>
      </c>
      <c r="E156" s="45">
        <f t="shared" si="20"/>
        <v>25</v>
      </c>
      <c r="F156" s="142" t="s">
        <v>656</v>
      </c>
      <c r="G156" s="142" t="s">
        <v>650</v>
      </c>
      <c r="H156" s="142" t="s">
        <v>651</v>
      </c>
      <c r="I156" s="142" t="s">
        <v>210</v>
      </c>
      <c r="J156" s="142" t="s">
        <v>210</v>
      </c>
      <c r="K156" s="142" t="s">
        <v>210</v>
      </c>
      <c r="L156" s="142">
        <v>1</v>
      </c>
      <c r="M156" s="142" t="str">
        <f t="shared" ca="1" si="21"/>
        <v>Aucune case cochée</v>
      </c>
      <c r="N156" s="142" t="str">
        <f t="shared" ca="1" si="26"/>
        <v>Aucune case cochée</v>
      </c>
      <c r="O156" s="47">
        <v>0</v>
      </c>
      <c r="P156" s="142">
        <f t="shared" si="25"/>
        <v>0</v>
      </c>
      <c r="Q156" s="142">
        <f t="shared" ca="1" si="22"/>
        <v>3</v>
      </c>
      <c r="R156" s="142">
        <f t="shared" si="18"/>
        <v>3</v>
      </c>
      <c r="S156" s="218"/>
      <c r="T156" s="218"/>
      <c r="U156" s="219"/>
      <c r="V156" s="220"/>
      <c r="W156" s="226"/>
      <c r="X156" s="220"/>
      <c r="Y156" s="217"/>
      <c r="Z156" s="17"/>
    </row>
    <row r="157" spans="1:26" ht="32.1" customHeight="1" x14ac:dyDescent="0.2">
      <c r="A157" s="44" t="s">
        <v>692</v>
      </c>
      <c r="B157" s="44" t="s">
        <v>693</v>
      </c>
      <c r="C157" s="44" t="s">
        <v>685</v>
      </c>
      <c r="D157" s="44" t="s">
        <v>223</v>
      </c>
      <c r="E157" s="45">
        <f t="shared" si="20"/>
        <v>27</v>
      </c>
      <c r="F157" s="142" t="s">
        <v>656</v>
      </c>
      <c r="G157" s="142" t="s">
        <v>650</v>
      </c>
      <c r="H157" s="142" t="s">
        <v>651</v>
      </c>
      <c r="I157" s="142" t="s">
        <v>210</v>
      </c>
      <c r="J157" s="142" t="s">
        <v>210</v>
      </c>
      <c r="K157" s="142" t="s">
        <v>210</v>
      </c>
      <c r="L157" s="142">
        <v>1</v>
      </c>
      <c r="M157" s="142" t="str">
        <f t="shared" ca="1" si="21"/>
        <v>Aucune case cochée</v>
      </c>
      <c r="N157" s="142" t="str">
        <f t="shared" ca="1" si="26"/>
        <v>Aucune case cochée</v>
      </c>
      <c r="O157" s="47">
        <v>0</v>
      </c>
      <c r="P157" s="142">
        <f t="shared" si="25"/>
        <v>0</v>
      </c>
      <c r="Q157" s="142">
        <f t="shared" ca="1" si="22"/>
        <v>3</v>
      </c>
      <c r="R157" s="142">
        <f t="shared" si="18"/>
        <v>3</v>
      </c>
      <c r="S157" s="218"/>
      <c r="T157" s="218"/>
      <c r="U157" s="219"/>
      <c r="V157" s="220"/>
      <c r="W157" s="226"/>
      <c r="X157" s="220"/>
      <c r="Y157" s="217"/>
      <c r="Z157" s="17"/>
    </row>
    <row r="158" spans="1:26" ht="32.1" customHeight="1" x14ac:dyDescent="0.2">
      <c r="A158" s="44" t="s">
        <v>692</v>
      </c>
      <c r="B158" s="44" t="s">
        <v>693</v>
      </c>
      <c r="C158" s="44" t="s">
        <v>685</v>
      </c>
      <c r="D158" s="44" t="s">
        <v>224</v>
      </c>
      <c r="E158" s="45">
        <f t="shared" si="20"/>
        <v>29</v>
      </c>
      <c r="F158" s="142" t="s">
        <v>656</v>
      </c>
      <c r="G158" s="142" t="s">
        <v>650</v>
      </c>
      <c r="H158" s="142" t="s">
        <v>651</v>
      </c>
      <c r="I158" s="142" t="s">
        <v>210</v>
      </c>
      <c r="J158" s="142" t="s">
        <v>210</v>
      </c>
      <c r="K158" s="142" t="s">
        <v>210</v>
      </c>
      <c r="L158" s="142">
        <v>1</v>
      </c>
      <c r="M158" s="142" t="str">
        <f t="shared" ca="1" si="21"/>
        <v>Aucune case cochée</v>
      </c>
      <c r="N158" s="142" t="str">
        <f t="shared" ca="1" si="26"/>
        <v>Aucune case cochée</v>
      </c>
      <c r="O158" s="47">
        <v>0</v>
      </c>
      <c r="P158" s="142">
        <f t="shared" si="25"/>
        <v>0</v>
      </c>
      <c r="Q158" s="142">
        <f t="shared" ca="1" si="22"/>
        <v>3</v>
      </c>
      <c r="R158" s="142">
        <f t="shared" si="18"/>
        <v>3</v>
      </c>
      <c r="S158" s="218"/>
      <c r="T158" s="218"/>
      <c r="U158" s="219"/>
      <c r="V158" s="220"/>
      <c r="W158" s="226"/>
      <c r="X158" s="220"/>
      <c r="Y158" s="217"/>
      <c r="Z158" s="17"/>
    </row>
    <row r="159" spans="1:26" s="50" customFormat="1" ht="32.1" customHeight="1" x14ac:dyDescent="0.2">
      <c r="A159" s="44" t="s">
        <v>692</v>
      </c>
      <c r="B159" s="44" t="s">
        <v>693</v>
      </c>
      <c r="C159" s="44" t="s">
        <v>685</v>
      </c>
      <c r="D159" s="48" t="s">
        <v>247</v>
      </c>
      <c r="E159" s="45">
        <f t="shared" si="20"/>
        <v>31</v>
      </c>
      <c r="F159" s="143" t="s">
        <v>649</v>
      </c>
      <c r="G159" s="142" t="s">
        <v>650</v>
      </c>
      <c r="H159" s="142" t="s">
        <v>651</v>
      </c>
      <c r="I159" s="142" t="s">
        <v>210</v>
      </c>
      <c r="J159" s="142" t="s">
        <v>210</v>
      </c>
      <c r="K159" s="142" t="s">
        <v>210</v>
      </c>
      <c r="L159" s="142">
        <v>2</v>
      </c>
      <c r="M159" s="142" t="str">
        <f t="shared" ca="1" si="21"/>
        <v>Aucune case cochée</v>
      </c>
      <c r="N159" s="142" t="str">
        <f t="shared" ca="1" si="26"/>
        <v>Aucune case cochée</v>
      </c>
      <c r="O159" s="47">
        <v>1</v>
      </c>
      <c r="P159" s="142">
        <f t="shared" si="25"/>
        <v>2</v>
      </c>
      <c r="Q159" s="142">
        <f t="shared" ca="1" si="22"/>
        <v>2</v>
      </c>
      <c r="R159" s="142">
        <f t="shared" si="18"/>
        <v>2</v>
      </c>
      <c r="S159" s="218"/>
      <c r="T159" s="218"/>
      <c r="U159" s="219"/>
      <c r="V159" s="220"/>
      <c r="W159" s="218"/>
      <c r="X159" s="220"/>
      <c r="Y159" s="217"/>
      <c r="Z159" s="49"/>
    </row>
    <row r="160" spans="1:26" ht="32.1" customHeight="1" x14ac:dyDescent="0.2">
      <c r="A160" s="44" t="s">
        <v>692</v>
      </c>
      <c r="B160" s="44" t="s">
        <v>693</v>
      </c>
      <c r="C160" s="44" t="s">
        <v>685</v>
      </c>
      <c r="D160" s="44" t="s">
        <v>225</v>
      </c>
      <c r="E160" s="45">
        <f t="shared" si="20"/>
        <v>33</v>
      </c>
      <c r="F160" s="142" t="s">
        <v>656</v>
      </c>
      <c r="G160" s="142" t="s">
        <v>650</v>
      </c>
      <c r="H160" s="142" t="s">
        <v>651</v>
      </c>
      <c r="I160" s="142" t="s">
        <v>210</v>
      </c>
      <c r="J160" s="142" t="s">
        <v>210</v>
      </c>
      <c r="K160" s="142" t="s">
        <v>210</v>
      </c>
      <c r="L160" s="142">
        <v>1</v>
      </c>
      <c r="M160" s="142" t="str">
        <f t="shared" ca="1" si="21"/>
        <v>Aucune case cochée</v>
      </c>
      <c r="N160" s="142" t="str">
        <f t="shared" ca="1" si="26"/>
        <v>Aucune case cochée</v>
      </c>
      <c r="O160" s="47">
        <v>0</v>
      </c>
      <c r="P160" s="142">
        <f t="shared" si="25"/>
        <v>0</v>
      </c>
      <c r="Q160" s="142">
        <f t="shared" ca="1" si="22"/>
        <v>3</v>
      </c>
      <c r="R160" s="142">
        <f t="shared" si="18"/>
        <v>3</v>
      </c>
      <c r="S160" s="218"/>
      <c r="T160" s="218"/>
      <c r="U160" s="219"/>
      <c r="V160" s="220"/>
      <c r="W160" s="226"/>
      <c r="X160" s="220"/>
      <c r="Y160" s="217"/>
      <c r="Z160" s="17"/>
    </row>
    <row r="161" spans="1:26" ht="32.1" customHeight="1" x14ac:dyDescent="0.2">
      <c r="A161" s="44" t="s">
        <v>692</v>
      </c>
      <c r="B161" s="44" t="s">
        <v>693</v>
      </c>
      <c r="C161" s="44" t="s">
        <v>685</v>
      </c>
      <c r="D161" s="44" t="s">
        <v>226</v>
      </c>
      <c r="E161" s="45">
        <f t="shared" si="20"/>
        <v>35</v>
      </c>
      <c r="F161" s="142" t="s">
        <v>656</v>
      </c>
      <c r="G161" s="142" t="s">
        <v>650</v>
      </c>
      <c r="H161" s="142" t="s">
        <v>651</v>
      </c>
      <c r="I161" s="142" t="s">
        <v>210</v>
      </c>
      <c r="J161" s="142" t="s">
        <v>210</v>
      </c>
      <c r="K161" s="142" t="s">
        <v>210</v>
      </c>
      <c r="L161" s="142">
        <v>1</v>
      </c>
      <c r="M161" s="142" t="str">
        <f t="shared" ca="1" si="21"/>
        <v>Aucune case cochée</v>
      </c>
      <c r="N161" s="142" t="str">
        <f t="shared" ca="1" si="26"/>
        <v>Aucune case cochée</v>
      </c>
      <c r="O161" s="47">
        <v>0</v>
      </c>
      <c r="P161" s="142">
        <f t="shared" si="25"/>
        <v>0</v>
      </c>
      <c r="Q161" s="142">
        <f t="shared" ca="1" si="22"/>
        <v>3</v>
      </c>
      <c r="R161" s="142">
        <f t="shared" si="18"/>
        <v>3</v>
      </c>
      <c r="S161" s="218"/>
      <c r="T161" s="218"/>
      <c r="U161" s="219"/>
      <c r="V161" s="220"/>
      <c r="W161" s="226"/>
      <c r="X161" s="220"/>
      <c r="Y161" s="217"/>
      <c r="Z161" s="17"/>
    </row>
    <row r="162" spans="1:26" ht="32.1" customHeight="1" x14ac:dyDescent="0.2">
      <c r="A162" s="44" t="s">
        <v>692</v>
      </c>
      <c r="B162" s="44" t="s">
        <v>693</v>
      </c>
      <c r="C162" s="44" t="s">
        <v>685</v>
      </c>
      <c r="D162" s="44" t="s">
        <v>242</v>
      </c>
      <c r="E162" s="45">
        <f t="shared" si="20"/>
        <v>37</v>
      </c>
      <c r="F162" s="142" t="s">
        <v>649</v>
      </c>
      <c r="G162" s="142" t="s">
        <v>650</v>
      </c>
      <c r="H162" s="142" t="s">
        <v>651</v>
      </c>
      <c r="I162" s="142" t="s">
        <v>210</v>
      </c>
      <c r="J162" s="142" t="s">
        <v>210</v>
      </c>
      <c r="K162" s="142" t="s">
        <v>210</v>
      </c>
      <c r="L162" s="142">
        <v>2</v>
      </c>
      <c r="M162" s="142" t="str">
        <f t="shared" ca="1" si="21"/>
        <v>Aucune case cochée</v>
      </c>
      <c r="N162" s="142" t="str">
        <f t="shared" ca="1" si="26"/>
        <v>Aucune case cochée</v>
      </c>
      <c r="O162" s="47">
        <v>1</v>
      </c>
      <c r="P162" s="142">
        <f t="shared" si="25"/>
        <v>2</v>
      </c>
      <c r="Q162" s="142">
        <f t="shared" ca="1" si="22"/>
        <v>2</v>
      </c>
      <c r="R162" s="142">
        <f t="shared" si="18"/>
        <v>2</v>
      </c>
      <c r="S162" s="218"/>
      <c r="T162" s="218"/>
      <c r="U162" s="219"/>
      <c r="V162" s="220"/>
      <c r="W162" s="218"/>
      <c r="X162" s="220"/>
      <c r="Y162" s="217"/>
      <c r="Z162" s="17"/>
    </row>
    <row r="163" spans="1:26" ht="32.1" customHeight="1" x14ac:dyDescent="0.2">
      <c r="A163" s="44" t="s">
        <v>692</v>
      </c>
      <c r="B163" s="44" t="s">
        <v>693</v>
      </c>
      <c r="C163" s="44" t="s">
        <v>685</v>
      </c>
      <c r="D163" s="44" t="s">
        <v>243</v>
      </c>
      <c r="E163" s="45">
        <f t="shared" si="20"/>
        <v>39</v>
      </c>
      <c r="F163" s="142" t="s">
        <v>649</v>
      </c>
      <c r="G163" s="142" t="s">
        <v>650</v>
      </c>
      <c r="H163" s="142" t="s">
        <v>651</v>
      </c>
      <c r="I163" s="142" t="s">
        <v>210</v>
      </c>
      <c r="J163" s="142" t="s">
        <v>210</v>
      </c>
      <c r="K163" s="142" t="s">
        <v>210</v>
      </c>
      <c r="L163" s="142">
        <v>2</v>
      </c>
      <c r="M163" s="142" t="str">
        <f t="shared" ca="1" si="21"/>
        <v>Aucune case cochée</v>
      </c>
      <c r="N163" s="142" t="str">
        <f t="shared" ca="1" si="26"/>
        <v>Aucune case cochée</v>
      </c>
      <c r="O163" s="47">
        <v>1</v>
      </c>
      <c r="P163" s="142">
        <f t="shared" si="25"/>
        <v>2</v>
      </c>
      <c r="Q163" s="142">
        <f t="shared" ca="1" si="22"/>
        <v>2</v>
      </c>
      <c r="R163" s="142">
        <f t="shared" si="18"/>
        <v>2</v>
      </c>
      <c r="S163" s="218"/>
      <c r="T163" s="218"/>
      <c r="U163" s="219"/>
      <c r="V163" s="220"/>
      <c r="W163" s="218"/>
      <c r="X163" s="220"/>
      <c r="Y163" s="217"/>
      <c r="Z163" s="17"/>
    </row>
    <row r="164" spans="1:26" ht="32.1" customHeight="1" x14ac:dyDescent="0.2">
      <c r="A164" s="44" t="s">
        <v>694</v>
      </c>
      <c r="B164" s="44" t="s">
        <v>694</v>
      </c>
      <c r="C164" s="44" t="s">
        <v>682</v>
      </c>
      <c r="D164" s="44" t="s">
        <v>249</v>
      </c>
      <c r="E164" s="45">
        <f t="shared" si="20"/>
        <v>10</v>
      </c>
      <c r="F164" s="142" t="s">
        <v>649</v>
      </c>
      <c r="G164" s="142" t="s">
        <v>650</v>
      </c>
      <c r="H164" s="142" t="s">
        <v>650</v>
      </c>
      <c r="I164" s="142" t="s">
        <v>651</v>
      </c>
      <c r="J164" s="142" t="s">
        <v>210</v>
      </c>
      <c r="K164" s="142" t="s">
        <v>210</v>
      </c>
      <c r="L164" s="142">
        <v>4</v>
      </c>
      <c r="M164" s="142" t="str">
        <f t="shared" ca="1" si="21"/>
        <v>Aucune case cochée</v>
      </c>
      <c r="N164" s="142" t="str">
        <f t="shared" ca="1" si="26"/>
        <v>Aucune case cochée</v>
      </c>
      <c r="O164" s="47">
        <v>1</v>
      </c>
      <c r="P164" s="142">
        <f t="shared" si="25"/>
        <v>4</v>
      </c>
      <c r="Q164" s="142">
        <f t="shared" ca="1" si="22"/>
        <v>4</v>
      </c>
      <c r="R164" s="142">
        <f t="shared" si="18"/>
        <v>4</v>
      </c>
      <c r="S164" s="218">
        <f ca="1">SUM(P164:P169)</f>
        <v>7</v>
      </c>
      <c r="T164" s="218">
        <f>SUM(R164:R169)</f>
        <v>16</v>
      </c>
      <c r="U164" s="219">
        <f ca="1">+S164/T164</f>
        <v>0.4375</v>
      </c>
      <c r="V164" s="220">
        <v>0.5</v>
      </c>
      <c r="W164" s="222">
        <f ca="1">U164*V164+U170*V170</f>
        <v>0.24314024390243902</v>
      </c>
      <c r="X164" s="220">
        <v>0.05</v>
      </c>
      <c r="Y164" s="217"/>
      <c r="Z164" s="17"/>
    </row>
    <row r="165" spans="1:26" ht="32.1" customHeight="1" x14ac:dyDescent="0.2">
      <c r="A165" s="44" t="s">
        <v>694</v>
      </c>
      <c r="B165" s="44" t="s">
        <v>694</v>
      </c>
      <c r="C165" s="44" t="s">
        <v>682</v>
      </c>
      <c r="D165" s="44" t="s">
        <v>695</v>
      </c>
      <c r="E165" s="45">
        <f t="shared" si="20"/>
        <v>12</v>
      </c>
      <c r="F165" s="142" t="s">
        <v>649</v>
      </c>
      <c r="G165" s="142" t="s">
        <v>650</v>
      </c>
      <c r="H165" s="142" t="s">
        <v>650</v>
      </c>
      <c r="I165" s="142" t="s">
        <v>650</v>
      </c>
      <c r="J165" s="142" t="s">
        <v>210</v>
      </c>
      <c r="K165" s="142" t="s">
        <v>210</v>
      </c>
      <c r="L165" s="142">
        <v>1</v>
      </c>
      <c r="M165" s="142" t="str">
        <f t="shared" ca="1" si="21"/>
        <v>Aucune case cochée</v>
      </c>
      <c r="N165" s="146" t="str">
        <f ca="1">IF(M165="Aucune case cochée",M165,IF(M165&lt;&gt;"Plus de 0,8 m² par lit",0))</f>
        <v>Aucune case cochée</v>
      </c>
      <c r="O165" s="47" t="s">
        <v>696</v>
      </c>
      <c r="P165" s="142">
        <f ca="1">IF(M165="1m² par lit et plus",3,IF(M165="Entre 0,8m² et 1m²/lit",2,IF(M165="Entre 0,3m² et 0,8m²/lit",1,0)))</f>
        <v>0</v>
      </c>
      <c r="Q165" s="142">
        <f ca="1">IF(N165="Non concerné",N165,R165)</f>
        <v>3</v>
      </c>
      <c r="R165" s="142">
        <v>3</v>
      </c>
      <c r="S165" s="218"/>
      <c r="T165" s="218"/>
      <c r="U165" s="219"/>
      <c r="V165" s="220"/>
      <c r="W165" s="218"/>
      <c r="X165" s="220"/>
      <c r="Y165" s="217"/>
      <c r="Z165" s="17"/>
    </row>
    <row r="166" spans="1:26" ht="32.1" customHeight="1" x14ac:dyDescent="0.2">
      <c r="A166" s="44" t="s">
        <v>694</v>
      </c>
      <c r="B166" s="44" t="s">
        <v>694</v>
      </c>
      <c r="C166" s="44" t="s">
        <v>682</v>
      </c>
      <c r="D166" s="44" t="s">
        <v>689</v>
      </c>
      <c r="E166" s="45">
        <f t="shared" si="20"/>
        <v>14</v>
      </c>
      <c r="F166" s="142" t="s">
        <v>656</v>
      </c>
      <c r="G166" s="142" t="s">
        <v>650</v>
      </c>
      <c r="H166" s="142" t="s">
        <v>650</v>
      </c>
      <c r="I166" s="142" t="s">
        <v>650</v>
      </c>
      <c r="J166" s="142" t="s">
        <v>210</v>
      </c>
      <c r="K166" s="142" t="s">
        <v>210</v>
      </c>
      <c r="L166" s="142">
        <v>1</v>
      </c>
      <c r="M166" s="142" t="str">
        <f t="shared" ca="1" si="21"/>
        <v>Aucune case cochée</v>
      </c>
      <c r="N166" s="142" t="str">
        <f ca="1">IF(M166="Aucune case cochée",M166,IF(M166="NC","Non concerné",IF(M166="Oui",1*L166,IF(M166="Non",0,L166*M166))))</f>
        <v>Aucune case cochée</v>
      </c>
      <c r="O166" s="47">
        <v>0</v>
      </c>
      <c r="P166" s="142">
        <f t="shared" ref="P166:P197" si="27">IF(O166="Non concerné",O166,O166*L166)</f>
        <v>0</v>
      </c>
      <c r="Q166" s="142">
        <f t="shared" ca="1" si="22"/>
        <v>3</v>
      </c>
      <c r="R166" s="142">
        <f t="shared" si="18"/>
        <v>3</v>
      </c>
      <c r="S166" s="218"/>
      <c r="T166" s="218"/>
      <c r="U166" s="219"/>
      <c r="V166" s="220"/>
      <c r="W166" s="218"/>
      <c r="X166" s="220"/>
      <c r="Y166" s="217"/>
      <c r="Z166" s="17"/>
    </row>
    <row r="167" spans="1:26" ht="32.1" customHeight="1" x14ac:dyDescent="0.2">
      <c r="A167" s="44" t="s">
        <v>694</v>
      </c>
      <c r="B167" s="44" t="s">
        <v>694</v>
      </c>
      <c r="C167" s="44" t="s">
        <v>682</v>
      </c>
      <c r="D167" s="44" t="s">
        <v>690</v>
      </c>
      <c r="E167" s="45">
        <f t="shared" si="20"/>
        <v>16</v>
      </c>
      <c r="F167" s="142" t="s">
        <v>656</v>
      </c>
      <c r="G167" s="142" t="s">
        <v>650</v>
      </c>
      <c r="H167" s="142" t="s">
        <v>650</v>
      </c>
      <c r="I167" s="142" t="s">
        <v>650</v>
      </c>
      <c r="J167" s="142" t="s">
        <v>210</v>
      </c>
      <c r="K167" s="142" t="s">
        <v>210</v>
      </c>
      <c r="L167" s="142">
        <v>1</v>
      </c>
      <c r="M167" s="142" t="str">
        <f t="shared" ca="1" si="21"/>
        <v>Aucune case cochée</v>
      </c>
      <c r="N167" s="142" t="str">
        <f t="shared" ref="N167:N230" ca="1" si="28">IF(M167="Aucune case cochée",M167,IF(M167="NC","Non concerné",IF(M167="Oui",1*L167,IF(M167="Non",0,L167*M167))))</f>
        <v>Aucune case cochée</v>
      </c>
      <c r="O167" s="47">
        <v>0</v>
      </c>
      <c r="P167" s="142">
        <f t="shared" si="27"/>
        <v>0</v>
      </c>
      <c r="Q167" s="142">
        <f t="shared" ca="1" si="22"/>
        <v>3</v>
      </c>
      <c r="R167" s="142">
        <f t="shared" si="18"/>
        <v>3</v>
      </c>
      <c r="S167" s="218"/>
      <c r="T167" s="218"/>
      <c r="U167" s="219"/>
      <c r="V167" s="220"/>
      <c r="W167" s="218"/>
      <c r="X167" s="220"/>
      <c r="Y167" s="217"/>
      <c r="Z167" s="17"/>
    </row>
    <row r="168" spans="1:26" ht="32.1" customHeight="1" x14ac:dyDescent="0.2">
      <c r="A168" s="44" t="s">
        <v>694</v>
      </c>
      <c r="B168" s="44" t="s">
        <v>694</v>
      </c>
      <c r="C168" s="44" t="s">
        <v>682</v>
      </c>
      <c r="D168" s="44" t="s">
        <v>254</v>
      </c>
      <c r="E168" s="45">
        <f t="shared" si="20"/>
        <v>18</v>
      </c>
      <c r="F168" s="142" t="s">
        <v>649</v>
      </c>
      <c r="G168" s="142" t="s">
        <v>650</v>
      </c>
      <c r="H168" s="142" t="s">
        <v>651</v>
      </c>
      <c r="I168" s="142" t="s">
        <v>650</v>
      </c>
      <c r="J168" s="142" t="s">
        <v>210</v>
      </c>
      <c r="K168" s="142" t="s">
        <v>210</v>
      </c>
      <c r="L168" s="142">
        <v>2</v>
      </c>
      <c r="M168" s="142" t="str">
        <f t="shared" ca="1" si="21"/>
        <v>Aucune case cochée</v>
      </c>
      <c r="N168" s="142" t="str">
        <f t="shared" ca="1" si="28"/>
        <v>Aucune case cochée</v>
      </c>
      <c r="O168" s="47">
        <v>1</v>
      </c>
      <c r="P168" s="142">
        <f t="shared" si="27"/>
        <v>2</v>
      </c>
      <c r="Q168" s="142">
        <f t="shared" ca="1" si="22"/>
        <v>2</v>
      </c>
      <c r="R168" s="142">
        <f t="shared" si="18"/>
        <v>2</v>
      </c>
      <c r="S168" s="218"/>
      <c r="T168" s="218"/>
      <c r="U168" s="219"/>
      <c r="V168" s="220"/>
      <c r="W168" s="218"/>
      <c r="X168" s="220"/>
      <c r="Y168" s="217"/>
      <c r="Z168" s="17"/>
    </row>
    <row r="169" spans="1:26" ht="32.1" customHeight="1" x14ac:dyDescent="0.2">
      <c r="A169" s="44" t="s">
        <v>694</v>
      </c>
      <c r="B169" s="44" t="s">
        <v>694</v>
      </c>
      <c r="C169" s="44" t="s">
        <v>682</v>
      </c>
      <c r="D169" s="44" t="s">
        <v>238</v>
      </c>
      <c r="E169" s="45">
        <f t="shared" si="20"/>
        <v>20</v>
      </c>
      <c r="F169" s="142" t="s">
        <v>649</v>
      </c>
      <c r="G169" s="142" t="s">
        <v>651</v>
      </c>
      <c r="H169" s="142" t="s">
        <v>651</v>
      </c>
      <c r="I169" s="142" t="s">
        <v>651</v>
      </c>
      <c r="J169" s="142" t="s">
        <v>210</v>
      </c>
      <c r="K169" s="142" t="s">
        <v>210</v>
      </c>
      <c r="L169" s="142">
        <v>1</v>
      </c>
      <c r="M169" s="142" t="str">
        <f t="shared" ca="1" si="21"/>
        <v>Aucune case cochée</v>
      </c>
      <c r="N169" s="142" t="str">
        <f t="shared" ca="1" si="28"/>
        <v>Aucune case cochée</v>
      </c>
      <c r="O169" s="47">
        <v>1</v>
      </c>
      <c r="P169" s="142">
        <f t="shared" si="27"/>
        <v>1</v>
      </c>
      <c r="Q169" s="142">
        <f t="shared" ca="1" si="22"/>
        <v>1</v>
      </c>
      <c r="R169" s="142">
        <f t="shared" si="18"/>
        <v>1</v>
      </c>
      <c r="S169" s="218"/>
      <c r="T169" s="218"/>
      <c r="U169" s="219"/>
      <c r="V169" s="220"/>
      <c r="W169" s="218"/>
      <c r="X169" s="220"/>
      <c r="Y169" s="217"/>
      <c r="Z169" s="17"/>
    </row>
    <row r="170" spans="1:26" ht="32.1" customHeight="1" x14ac:dyDescent="0.2">
      <c r="A170" s="44" t="s">
        <v>694</v>
      </c>
      <c r="B170" s="44" t="s">
        <v>694</v>
      </c>
      <c r="C170" s="44" t="s">
        <v>685</v>
      </c>
      <c r="D170" s="44" t="s">
        <v>255</v>
      </c>
      <c r="E170" s="45">
        <f t="shared" si="20"/>
        <v>23</v>
      </c>
      <c r="F170" s="142" t="s">
        <v>656</v>
      </c>
      <c r="G170" s="142" t="s">
        <v>650</v>
      </c>
      <c r="H170" s="142" t="s">
        <v>650</v>
      </c>
      <c r="I170" s="142" t="s">
        <v>650</v>
      </c>
      <c r="J170" s="142" t="s">
        <v>210</v>
      </c>
      <c r="K170" s="142" t="s">
        <v>210</v>
      </c>
      <c r="L170" s="142">
        <v>1</v>
      </c>
      <c r="M170" s="142" t="str">
        <f t="shared" ca="1" si="21"/>
        <v>Aucune case cochée</v>
      </c>
      <c r="N170" s="142" t="str">
        <f t="shared" ca="1" si="28"/>
        <v>Aucune case cochée</v>
      </c>
      <c r="O170" s="47">
        <v>0</v>
      </c>
      <c r="P170" s="142">
        <f t="shared" si="27"/>
        <v>0</v>
      </c>
      <c r="Q170" s="142">
        <f t="shared" ca="1" si="22"/>
        <v>3</v>
      </c>
      <c r="R170" s="142">
        <f t="shared" si="18"/>
        <v>3</v>
      </c>
      <c r="S170" s="218">
        <f>SUM(P170:P179)</f>
        <v>2</v>
      </c>
      <c r="T170" s="218">
        <f>SUM(R170:R179)</f>
        <v>41</v>
      </c>
      <c r="U170" s="219">
        <f>+S170/T170</f>
        <v>4.878048780487805E-2</v>
      </c>
      <c r="V170" s="220">
        <v>0.5</v>
      </c>
      <c r="W170" s="218"/>
      <c r="X170" s="220"/>
      <c r="Y170" s="217"/>
      <c r="Z170" s="17"/>
    </row>
    <row r="171" spans="1:26" ht="32.1" customHeight="1" x14ac:dyDescent="0.2">
      <c r="A171" s="44" t="s">
        <v>694</v>
      </c>
      <c r="B171" s="44" t="s">
        <v>694</v>
      </c>
      <c r="C171" s="44" t="s">
        <v>685</v>
      </c>
      <c r="D171" s="44" t="s">
        <v>256</v>
      </c>
      <c r="E171" s="45">
        <f t="shared" si="20"/>
        <v>25</v>
      </c>
      <c r="F171" s="142" t="s">
        <v>656</v>
      </c>
      <c r="G171" s="142" t="s">
        <v>650</v>
      </c>
      <c r="H171" s="142" t="s">
        <v>650</v>
      </c>
      <c r="I171" s="142" t="s">
        <v>650</v>
      </c>
      <c r="J171" s="142" t="s">
        <v>210</v>
      </c>
      <c r="K171" s="142" t="s">
        <v>210</v>
      </c>
      <c r="L171" s="142">
        <v>1</v>
      </c>
      <c r="M171" s="142" t="str">
        <f t="shared" ca="1" si="21"/>
        <v>Aucune case cochée</v>
      </c>
      <c r="N171" s="142" t="str">
        <f t="shared" ca="1" si="28"/>
        <v>Aucune case cochée</v>
      </c>
      <c r="O171" s="47">
        <v>0</v>
      </c>
      <c r="P171" s="142">
        <f t="shared" si="27"/>
        <v>0</v>
      </c>
      <c r="Q171" s="142">
        <f t="shared" ca="1" si="22"/>
        <v>3</v>
      </c>
      <c r="R171" s="142">
        <f t="shared" si="18"/>
        <v>3</v>
      </c>
      <c r="S171" s="218"/>
      <c r="T171" s="218"/>
      <c r="U171" s="219"/>
      <c r="V171" s="220"/>
      <c r="W171" s="218"/>
      <c r="X171" s="220"/>
      <c r="Y171" s="217"/>
      <c r="Z171" s="17"/>
    </row>
    <row r="172" spans="1:26" ht="32.1" customHeight="1" x14ac:dyDescent="0.2">
      <c r="A172" s="44" t="s">
        <v>694</v>
      </c>
      <c r="B172" s="44" t="s">
        <v>694</v>
      </c>
      <c r="C172" s="44" t="s">
        <v>685</v>
      </c>
      <c r="D172" s="44" t="s">
        <v>257</v>
      </c>
      <c r="E172" s="45">
        <f t="shared" si="20"/>
        <v>27</v>
      </c>
      <c r="F172" s="142" t="s">
        <v>656</v>
      </c>
      <c r="G172" s="142" t="s">
        <v>650</v>
      </c>
      <c r="H172" s="142" t="s">
        <v>650</v>
      </c>
      <c r="I172" s="142" t="s">
        <v>650</v>
      </c>
      <c r="J172" s="142" t="s">
        <v>210</v>
      </c>
      <c r="K172" s="142" t="s">
        <v>210</v>
      </c>
      <c r="L172" s="142">
        <v>3</v>
      </c>
      <c r="M172" s="142" t="str">
        <f t="shared" ca="1" si="21"/>
        <v>Aucune case cochée</v>
      </c>
      <c r="N172" s="142" t="str">
        <f t="shared" ca="1" si="28"/>
        <v>Aucune case cochée</v>
      </c>
      <c r="O172" s="47">
        <v>0</v>
      </c>
      <c r="P172" s="142">
        <f t="shared" si="27"/>
        <v>0</v>
      </c>
      <c r="Q172" s="142">
        <f t="shared" ca="1" si="22"/>
        <v>9</v>
      </c>
      <c r="R172" s="142">
        <f t="shared" si="18"/>
        <v>9</v>
      </c>
      <c r="S172" s="218"/>
      <c r="T172" s="218"/>
      <c r="U172" s="219"/>
      <c r="V172" s="220"/>
      <c r="W172" s="218"/>
      <c r="X172" s="220"/>
      <c r="Y172" s="217"/>
      <c r="Z172" s="17"/>
    </row>
    <row r="173" spans="1:26" ht="32.1" customHeight="1" x14ac:dyDescent="0.2">
      <c r="A173" s="44" t="s">
        <v>694</v>
      </c>
      <c r="B173" s="44" t="s">
        <v>694</v>
      </c>
      <c r="C173" s="44" t="s">
        <v>685</v>
      </c>
      <c r="D173" s="44" t="s">
        <v>258</v>
      </c>
      <c r="E173" s="45">
        <f t="shared" si="20"/>
        <v>29</v>
      </c>
      <c r="F173" s="142" t="s">
        <v>656</v>
      </c>
      <c r="G173" s="142" t="s">
        <v>650</v>
      </c>
      <c r="H173" s="142" t="s">
        <v>650</v>
      </c>
      <c r="I173" s="142" t="s">
        <v>650</v>
      </c>
      <c r="J173" s="142" t="s">
        <v>210</v>
      </c>
      <c r="K173" s="142" t="s">
        <v>210</v>
      </c>
      <c r="L173" s="142">
        <v>4</v>
      </c>
      <c r="M173" s="142" t="str">
        <f t="shared" ca="1" si="21"/>
        <v>Aucune case cochée</v>
      </c>
      <c r="N173" s="142" t="str">
        <f t="shared" ca="1" si="28"/>
        <v>Aucune case cochée</v>
      </c>
      <c r="O173" s="47">
        <v>0</v>
      </c>
      <c r="P173" s="142">
        <f t="shared" si="27"/>
        <v>0</v>
      </c>
      <c r="Q173" s="142">
        <f t="shared" ca="1" si="22"/>
        <v>12</v>
      </c>
      <c r="R173" s="142">
        <f t="shared" si="18"/>
        <v>12</v>
      </c>
      <c r="S173" s="218"/>
      <c r="T173" s="218"/>
      <c r="U173" s="219"/>
      <c r="V173" s="220"/>
      <c r="W173" s="218"/>
      <c r="X173" s="220"/>
      <c r="Y173" s="217"/>
      <c r="Z173" s="17"/>
    </row>
    <row r="174" spans="1:26" ht="32.1" customHeight="1" x14ac:dyDescent="0.2">
      <c r="A174" s="44" t="s">
        <v>694</v>
      </c>
      <c r="B174" s="44" t="s">
        <v>694</v>
      </c>
      <c r="C174" s="44" t="s">
        <v>685</v>
      </c>
      <c r="D174" s="44" t="s">
        <v>697</v>
      </c>
      <c r="E174" s="45">
        <f t="shared" si="20"/>
        <v>31</v>
      </c>
      <c r="F174" s="142" t="s">
        <v>656</v>
      </c>
      <c r="G174" s="142" t="s">
        <v>650</v>
      </c>
      <c r="H174" s="142" t="s">
        <v>650</v>
      </c>
      <c r="I174" s="142" t="s">
        <v>650</v>
      </c>
      <c r="J174" s="142" t="s">
        <v>210</v>
      </c>
      <c r="K174" s="142" t="s">
        <v>210</v>
      </c>
      <c r="L174" s="142">
        <v>1</v>
      </c>
      <c r="M174" s="142" t="str">
        <f ca="1">IFERROR(INDEX(INDIRECT(B174 &amp; "!G" &amp; E174 &amp; ":M" &amp; E174), 1, MATCH(TRUE, INDIRECT(B174 &amp; "!G" &amp; (E174+1) &amp; ":M" &amp; (E174+1)), 0)), "Aucune case cochée")</f>
        <v>Aucune case cochée</v>
      </c>
      <c r="N174" s="142" t="str">
        <f t="shared" ca="1" si="28"/>
        <v>Aucune case cochée</v>
      </c>
      <c r="O174" s="47">
        <v>0</v>
      </c>
      <c r="P174" s="142">
        <f t="shared" si="27"/>
        <v>0</v>
      </c>
      <c r="Q174" s="142">
        <f t="shared" ca="1" si="22"/>
        <v>3</v>
      </c>
      <c r="R174" s="142">
        <f t="shared" si="18"/>
        <v>3</v>
      </c>
      <c r="S174" s="218"/>
      <c r="T174" s="218"/>
      <c r="U174" s="219"/>
      <c r="V174" s="220"/>
      <c r="W174" s="218"/>
      <c r="X174" s="220"/>
      <c r="Y174" s="217"/>
      <c r="Z174" s="17"/>
    </row>
    <row r="175" spans="1:26" ht="32.1" customHeight="1" x14ac:dyDescent="0.2">
      <c r="A175" s="44" t="s">
        <v>694</v>
      </c>
      <c r="B175" s="44" t="s">
        <v>694</v>
      </c>
      <c r="C175" s="44" t="s">
        <v>685</v>
      </c>
      <c r="D175" s="44" t="s">
        <v>698</v>
      </c>
      <c r="E175" s="45">
        <f t="shared" si="20"/>
        <v>33</v>
      </c>
      <c r="F175" s="142" t="s">
        <v>656</v>
      </c>
      <c r="G175" s="142" t="s">
        <v>650</v>
      </c>
      <c r="H175" s="142" t="s">
        <v>650</v>
      </c>
      <c r="I175" s="142" t="s">
        <v>650</v>
      </c>
      <c r="J175" s="142" t="s">
        <v>210</v>
      </c>
      <c r="K175" s="142" t="s">
        <v>210</v>
      </c>
      <c r="L175" s="142">
        <v>1</v>
      </c>
      <c r="M175" s="142" t="str">
        <f t="shared" ca="1" si="21"/>
        <v>Aucune case cochée</v>
      </c>
      <c r="N175" s="142" t="str">
        <f t="shared" ca="1" si="28"/>
        <v>Aucune case cochée</v>
      </c>
      <c r="O175" s="47">
        <v>0</v>
      </c>
      <c r="P175" s="142">
        <f t="shared" si="27"/>
        <v>0</v>
      </c>
      <c r="Q175" s="142">
        <f t="shared" ca="1" si="22"/>
        <v>3</v>
      </c>
      <c r="R175" s="142">
        <f t="shared" si="18"/>
        <v>3</v>
      </c>
      <c r="S175" s="218"/>
      <c r="T175" s="218"/>
      <c r="U175" s="219"/>
      <c r="V175" s="220"/>
      <c r="W175" s="218"/>
      <c r="X175" s="220"/>
      <c r="Y175" s="217"/>
      <c r="Z175" s="17"/>
    </row>
    <row r="176" spans="1:26" ht="32.1" customHeight="1" x14ac:dyDescent="0.2">
      <c r="A176" s="44" t="s">
        <v>694</v>
      </c>
      <c r="B176" s="44" t="s">
        <v>694</v>
      </c>
      <c r="C176" s="44" t="s">
        <v>685</v>
      </c>
      <c r="D176" s="44" t="s">
        <v>242</v>
      </c>
      <c r="E176" s="45">
        <f t="shared" si="20"/>
        <v>35</v>
      </c>
      <c r="F176" s="142" t="s">
        <v>649</v>
      </c>
      <c r="G176" s="142" t="s">
        <v>650</v>
      </c>
      <c r="H176" s="142" t="s">
        <v>650</v>
      </c>
      <c r="I176" s="142" t="s">
        <v>651</v>
      </c>
      <c r="J176" s="142" t="s">
        <v>210</v>
      </c>
      <c r="K176" s="142" t="s">
        <v>210</v>
      </c>
      <c r="L176" s="142">
        <v>1</v>
      </c>
      <c r="M176" s="142" t="str">
        <f t="shared" ca="1" si="21"/>
        <v>Aucune case cochée</v>
      </c>
      <c r="N176" s="142" t="str">
        <f t="shared" ca="1" si="28"/>
        <v>Aucune case cochée</v>
      </c>
      <c r="O176" s="47">
        <v>1</v>
      </c>
      <c r="P176" s="142">
        <f t="shared" si="27"/>
        <v>1</v>
      </c>
      <c r="Q176" s="142">
        <f t="shared" ca="1" si="22"/>
        <v>1</v>
      </c>
      <c r="R176" s="142">
        <f t="shared" si="18"/>
        <v>1</v>
      </c>
      <c r="S176" s="218"/>
      <c r="T176" s="218"/>
      <c r="U176" s="219"/>
      <c r="V176" s="220"/>
      <c r="W176" s="218"/>
      <c r="X176" s="220"/>
      <c r="Y176" s="217"/>
      <c r="Z176" s="17"/>
    </row>
    <row r="177" spans="1:26" ht="32.1" customHeight="1" x14ac:dyDescent="0.2">
      <c r="A177" s="44" t="s">
        <v>694</v>
      </c>
      <c r="B177" s="44" t="s">
        <v>694</v>
      </c>
      <c r="C177" s="44" t="s">
        <v>685</v>
      </c>
      <c r="D177" s="44" t="s">
        <v>243</v>
      </c>
      <c r="E177" s="45">
        <f t="shared" si="20"/>
        <v>37</v>
      </c>
      <c r="F177" s="142" t="s">
        <v>649</v>
      </c>
      <c r="G177" s="142" t="s">
        <v>650</v>
      </c>
      <c r="H177" s="142" t="s">
        <v>651</v>
      </c>
      <c r="I177" s="142" t="s">
        <v>210</v>
      </c>
      <c r="J177" s="142" t="s">
        <v>210</v>
      </c>
      <c r="K177" s="142" t="s">
        <v>210</v>
      </c>
      <c r="L177" s="142">
        <v>1</v>
      </c>
      <c r="M177" s="142" t="str">
        <f t="shared" ca="1" si="21"/>
        <v>Aucune case cochée</v>
      </c>
      <c r="N177" s="142" t="str">
        <f t="shared" ca="1" si="28"/>
        <v>Aucune case cochée</v>
      </c>
      <c r="O177" s="47">
        <v>1</v>
      </c>
      <c r="P177" s="142">
        <f t="shared" si="27"/>
        <v>1</v>
      </c>
      <c r="Q177" s="142">
        <f t="shared" ca="1" si="22"/>
        <v>1</v>
      </c>
      <c r="R177" s="142">
        <f t="shared" si="18"/>
        <v>1</v>
      </c>
      <c r="S177" s="218"/>
      <c r="T177" s="218"/>
      <c r="U177" s="219"/>
      <c r="V177" s="220"/>
      <c r="W177" s="218"/>
      <c r="X177" s="220"/>
      <c r="Y177" s="217"/>
      <c r="Z177" s="17"/>
    </row>
    <row r="178" spans="1:26" ht="32.1" customHeight="1" x14ac:dyDescent="0.2">
      <c r="A178" s="44" t="s">
        <v>694</v>
      </c>
      <c r="B178" s="44" t="s">
        <v>694</v>
      </c>
      <c r="C178" s="44" t="s">
        <v>685</v>
      </c>
      <c r="D178" s="44" t="s">
        <v>261</v>
      </c>
      <c r="E178" s="45">
        <f t="shared" si="20"/>
        <v>39</v>
      </c>
      <c r="F178" s="142" t="s">
        <v>656</v>
      </c>
      <c r="G178" s="142" t="s">
        <v>650</v>
      </c>
      <c r="H178" s="142" t="s">
        <v>650</v>
      </c>
      <c r="I178" s="142" t="s">
        <v>651</v>
      </c>
      <c r="J178" s="142" t="s">
        <v>210</v>
      </c>
      <c r="K178" s="142" t="s">
        <v>210</v>
      </c>
      <c r="L178" s="142">
        <v>1</v>
      </c>
      <c r="M178" s="142" t="str">
        <f ca="1">IFERROR(INDEX(INDIRECT(B178 &amp; "!G" &amp; E178 &amp; ":M" &amp; E178), 1, MATCH(TRUE, INDIRECT(B178 &amp; "!G" &amp; (E178+1) &amp; ":M" &amp; (E178+1)), 0)), "Aucune case cochée")</f>
        <v>Aucune case cochée</v>
      </c>
      <c r="N178" s="142" t="str">
        <f t="shared" ca="1" si="28"/>
        <v>Aucune case cochée</v>
      </c>
      <c r="O178" s="47">
        <v>0</v>
      </c>
      <c r="P178" s="142">
        <f t="shared" si="27"/>
        <v>0</v>
      </c>
      <c r="Q178" s="142">
        <f t="shared" ca="1" si="22"/>
        <v>3</v>
      </c>
      <c r="R178" s="142">
        <f t="shared" si="18"/>
        <v>3</v>
      </c>
      <c r="S178" s="218"/>
      <c r="T178" s="218"/>
      <c r="U178" s="219"/>
      <c r="V178" s="220"/>
      <c r="W178" s="218"/>
      <c r="X178" s="220"/>
      <c r="Y178" s="217"/>
      <c r="Z178" s="17"/>
    </row>
    <row r="179" spans="1:26" ht="32.1" customHeight="1" x14ac:dyDescent="0.2">
      <c r="A179" s="44" t="s">
        <v>694</v>
      </c>
      <c r="B179" s="44" t="s">
        <v>694</v>
      </c>
      <c r="C179" s="44" t="s">
        <v>685</v>
      </c>
      <c r="D179" s="44" t="s">
        <v>262</v>
      </c>
      <c r="E179" s="45">
        <f t="shared" si="20"/>
        <v>41</v>
      </c>
      <c r="F179" s="142" t="s">
        <v>656</v>
      </c>
      <c r="G179" s="142" t="s">
        <v>650</v>
      </c>
      <c r="H179" s="142" t="s">
        <v>651</v>
      </c>
      <c r="I179" s="142" t="s">
        <v>210</v>
      </c>
      <c r="J179" s="142" t="s">
        <v>210</v>
      </c>
      <c r="K179" s="142" t="s">
        <v>210</v>
      </c>
      <c r="L179" s="142">
        <v>1</v>
      </c>
      <c r="M179" s="142" t="str">
        <f t="shared" ca="1" si="21"/>
        <v>Aucune case cochée</v>
      </c>
      <c r="N179" s="142" t="str">
        <f t="shared" ca="1" si="28"/>
        <v>Aucune case cochée</v>
      </c>
      <c r="O179" s="47">
        <v>0</v>
      </c>
      <c r="P179" s="142">
        <f t="shared" si="27"/>
        <v>0</v>
      </c>
      <c r="Q179" s="142">
        <f t="shared" ca="1" si="22"/>
        <v>3</v>
      </c>
      <c r="R179" s="142">
        <f t="shared" si="18"/>
        <v>3</v>
      </c>
      <c r="S179" s="218"/>
      <c r="T179" s="218"/>
      <c r="U179" s="219"/>
      <c r="V179" s="220"/>
      <c r="W179" s="218"/>
      <c r="X179" s="220"/>
      <c r="Y179" s="217"/>
      <c r="Z179" s="17"/>
    </row>
    <row r="180" spans="1:26" ht="32.1" customHeight="1" x14ac:dyDescent="0.2">
      <c r="A180" s="44" t="s">
        <v>699</v>
      </c>
      <c r="B180" s="44" t="s">
        <v>700</v>
      </c>
      <c r="C180" s="44" t="s">
        <v>701</v>
      </c>
      <c r="D180" s="48" t="s">
        <v>265</v>
      </c>
      <c r="E180" s="45">
        <f t="shared" si="20"/>
        <v>10</v>
      </c>
      <c r="F180" s="142" t="s">
        <v>649</v>
      </c>
      <c r="G180" s="142" t="s">
        <v>651</v>
      </c>
      <c r="H180" s="142" t="s">
        <v>651</v>
      </c>
      <c r="I180" s="142" t="s">
        <v>651</v>
      </c>
      <c r="J180" s="142" t="s">
        <v>210</v>
      </c>
      <c r="K180" s="142" t="s">
        <v>210</v>
      </c>
      <c r="L180" s="142">
        <v>4</v>
      </c>
      <c r="M180" s="142" t="str">
        <f t="shared" ca="1" si="21"/>
        <v>Aucune case cochée</v>
      </c>
      <c r="N180" s="142" t="str">
        <f t="shared" ca="1" si="28"/>
        <v>Aucune case cochée</v>
      </c>
      <c r="O180" s="47">
        <v>1</v>
      </c>
      <c r="P180" s="142">
        <f t="shared" si="27"/>
        <v>4</v>
      </c>
      <c r="Q180" s="142">
        <f t="shared" ca="1" si="22"/>
        <v>4</v>
      </c>
      <c r="R180" s="142">
        <f t="shared" si="18"/>
        <v>4</v>
      </c>
      <c r="S180" s="218">
        <f>SUM(P180:P183)</f>
        <v>6</v>
      </c>
      <c r="T180" s="218">
        <f>SUM(R180:R183)</f>
        <v>12</v>
      </c>
      <c r="U180" s="219">
        <f>+S180/T180</f>
        <v>0.5</v>
      </c>
      <c r="V180" s="220">
        <v>0.4</v>
      </c>
      <c r="W180" s="222">
        <f>U180*V180+U184*V184+U188*V188</f>
        <v>0.52857142857142858</v>
      </c>
      <c r="X180" s="220">
        <v>0.05</v>
      </c>
      <c r="Y180" s="217"/>
      <c r="Z180" s="17"/>
    </row>
    <row r="181" spans="1:26" ht="32.1" customHeight="1" x14ac:dyDescent="0.2">
      <c r="A181" s="44" t="s">
        <v>699</v>
      </c>
      <c r="B181" s="44" t="s">
        <v>700</v>
      </c>
      <c r="C181" s="44" t="s">
        <v>701</v>
      </c>
      <c r="D181" s="44" t="s">
        <v>266</v>
      </c>
      <c r="E181" s="45">
        <f t="shared" si="20"/>
        <v>12</v>
      </c>
      <c r="F181" s="142" t="s">
        <v>656</v>
      </c>
      <c r="G181" s="142" t="s">
        <v>651</v>
      </c>
      <c r="H181" s="142" t="s">
        <v>651</v>
      </c>
      <c r="I181" s="142" t="s">
        <v>651</v>
      </c>
      <c r="J181" s="142" t="s">
        <v>210</v>
      </c>
      <c r="K181" s="142" t="s">
        <v>210</v>
      </c>
      <c r="L181" s="142">
        <v>1</v>
      </c>
      <c r="M181" s="142" t="str">
        <f t="shared" ca="1" si="21"/>
        <v>Aucune case cochée</v>
      </c>
      <c r="N181" s="142" t="str">
        <f t="shared" ca="1" si="28"/>
        <v>Aucune case cochée</v>
      </c>
      <c r="O181" s="47">
        <v>0</v>
      </c>
      <c r="P181" s="142">
        <f t="shared" si="27"/>
        <v>0</v>
      </c>
      <c r="Q181" s="142">
        <f t="shared" ca="1" si="22"/>
        <v>3</v>
      </c>
      <c r="R181" s="142">
        <f t="shared" si="18"/>
        <v>3</v>
      </c>
      <c r="S181" s="218"/>
      <c r="T181" s="218"/>
      <c r="U181" s="219"/>
      <c r="V181" s="220"/>
      <c r="W181" s="218"/>
      <c r="X181" s="220"/>
      <c r="Y181" s="217"/>
      <c r="Z181" s="17"/>
    </row>
    <row r="182" spans="1:26" ht="32.1" customHeight="1" x14ac:dyDescent="0.2">
      <c r="A182" s="44" t="s">
        <v>699</v>
      </c>
      <c r="B182" s="44" t="s">
        <v>700</v>
      </c>
      <c r="C182" s="44" t="s">
        <v>701</v>
      </c>
      <c r="D182" s="44" t="s">
        <v>267</v>
      </c>
      <c r="E182" s="45">
        <f t="shared" si="20"/>
        <v>14</v>
      </c>
      <c r="F182" s="142" t="s">
        <v>656</v>
      </c>
      <c r="G182" s="142" t="s">
        <v>651</v>
      </c>
      <c r="H182" s="142" t="s">
        <v>651</v>
      </c>
      <c r="I182" s="142" t="s">
        <v>651</v>
      </c>
      <c r="J182" s="142" t="s">
        <v>210</v>
      </c>
      <c r="K182" s="142" t="s">
        <v>210</v>
      </c>
      <c r="L182" s="142">
        <v>1</v>
      </c>
      <c r="M182" s="142" t="str">
        <f t="shared" ca="1" si="21"/>
        <v>Aucune case cochée</v>
      </c>
      <c r="N182" s="142" t="str">
        <f t="shared" ca="1" si="28"/>
        <v>Aucune case cochée</v>
      </c>
      <c r="O182" s="47">
        <v>0</v>
      </c>
      <c r="P182" s="142">
        <f t="shared" si="27"/>
        <v>0</v>
      </c>
      <c r="Q182" s="142">
        <f t="shared" ca="1" si="22"/>
        <v>3</v>
      </c>
      <c r="R182" s="142">
        <f t="shared" si="18"/>
        <v>3</v>
      </c>
      <c r="S182" s="218"/>
      <c r="T182" s="218"/>
      <c r="U182" s="219"/>
      <c r="V182" s="220"/>
      <c r="W182" s="218"/>
      <c r="X182" s="220"/>
      <c r="Y182" s="217"/>
      <c r="Z182" s="17"/>
    </row>
    <row r="183" spans="1:26" ht="32.1" customHeight="1" x14ac:dyDescent="0.2">
      <c r="A183" s="44" t="s">
        <v>699</v>
      </c>
      <c r="B183" s="44" t="s">
        <v>700</v>
      </c>
      <c r="C183" s="44" t="s">
        <v>701</v>
      </c>
      <c r="D183" s="48" t="s">
        <v>268</v>
      </c>
      <c r="E183" s="45">
        <f t="shared" si="20"/>
        <v>16</v>
      </c>
      <c r="F183" s="142" t="s">
        <v>649</v>
      </c>
      <c r="G183" s="142" t="s">
        <v>651</v>
      </c>
      <c r="H183" s="142" t="s">
        <v>651</v>
      </c>
      <c r="I183" s="142" t="s">
        <v>651</v>
      </c>
      <c r="J183" s="142" t="s">
        <v>210</v>
      </c>
      <c r="K183" s="142" t="s">
        <v>210</v>
      </c>
      <c r="L183" s="142">
        <v>2</v>
      </c>
      <c r="M183" s="142" t="str">
        <f t="shared" ca="1" si="21"/>
        <v>Aucune case cochée</v>
      </c>
      <c r="N183" s="142" t="str">
        <f t="shared" ca="1" si="28"/>
        <v>Aucune case cochée</v>
      </c>
      <c r="O183" s="47">
        <v>1</v>
      </c>
      <c r="P183" s="142">
        <f t="shared" si="27"/>
        <v>2</v>
      </c>
      <c r="Q183" s="142">
        <f t="shared" ca="1" si="22"/>
        <v>2</v>
      </c>
      <c r="R183" s="142">
        <f t="shared" si="18"/>
        <v>2</v>
      </c>
      <c r="S183" s="218"/>
      <c r="T183" s="218"/>
      <c r="U183" s="219"/>
      <c r="V183" s="220"/>
      <c r="W183" s="218"/>
      <c r="X183" s="220"/>
      <c r="Y183" s="217"/>
      <c r="Z183" s="17"/>
    </row>
    <row r="184" spans="1:26" ht="32.1" customHeight="1" x14ac:dyDescent="0.2">
      <c r="A184" s="44" t="s">
        <v>699</v>
      </c>
      <c r="B184" s="44" t="s">
        <v>700</v>
      </c>
      <c r="C184" s="44" t="s">
        <v>702</v>
      </c>
      <c r="D184" s="48" t="s">
        <v>270</v>
      </c>
      <c r="E184" s="45">
        <f t="shared" si="20"/>
        <v>19</v>
      </c>
      <c r="F184" s="142" t="s">
        <v>649</v>
      </c>
      <c r="G184" s="142" t="s">
        <v>651</v>
      </c>
      <c r="H184" s="142" t="s">
        <v>651</v>
      </c>
      <c r="I184" s="142" t="s">
        <v>651</v>
      </c>
      <c r="J184" s="142" t="s">
        <v>210</v>
      </c>
      <c r="K184" s="142" t="s">
        <v>210</v>
      </c>
      <c r="L184" s="142">
        <v>4</v>
      </c>
      <c r="M184" s="142" t="str">
        <f t="shared" ca="1" si="21"/>
        <v>Aucune case cochée</v>
      </c>
      <c r="N184" s="142" t="str">
        <f t="shared" ca="1" si="28"/>
        <v>Aucune case cochée</v>
      </c>
      <c r="O184" s="47">
        <v>1</v>
      </c>
      <c r="P184" s="142">
        <f t="shared" si="27"/>
        <v>4</v>
      </c>
      <c r="Q184" s="142">
        <f t="shared" ca="1" si="22"/>
        <v>4</v>
      </c>
      <c r="R184" s="142">
        <f t="shared" si="18"/>
        <v>4</v>
      </c>
      <c r="S184" s="218">
        <f>SUM(P184:P187)</f>
        <v>6</v>
      </c>
      <c r="T184" s="218">
        <f>SUM(R184:R187)</f>
        <v>12</v>
      </c>
      <c r="U184" s="219">
        <f>+S184/T184</f>
        <v>0.5</v>
      </c>
      <c r="V184" s="220">
        <v>0.2</v>
      </c>
      <c r="W184" s="218"/>
      <c r="X184" s="220"/>
      <c r="Y184" s="217"/>
      <c r="Z184" s="17"/>
    </row>
    <row r="185" spans="1:26" ht="32.1" customHeight="1" x14ac:dyDescent="0.2">
      <c r="A185" s="44" t="s">
        <v>699</v>
      </c>
      <c r="B185" s="44" t="s">
        <v>700</v>
      </c>
      <c r="C185" s="44" t="s">
        <v>702</v>
      </c>
      <c r="D185" s="44" t="s">
        <v>271</v>
      </c>
      <c r="E185" s="45">
        <f t="shared" si="20"/>
        <v>21</v>
      </c>
      <c r="F185" s="142" t="s">
        <v>656</v>
      </c>
      <c r="G185" s="142" t="s">
        <v>651</v>
      </c>
      <c r="H185" s="142" t="s">
        <v>651</v>
      </c>
      <c r="I185" s="142" t="s">
        <v>651</v>
      </c>
      <c r="J185" s="142" t="s">
        <v>210</v>
      </c>
      <c r="K185" s="142" t="s">
        <v>210</v>
      </c>
      <c r="L185" s="142">
        <v>1</v>
      </c>
      <c r="M185" s="142" t="str">
        <f t="shared" ca="1" si="21"/>
        <v>Aucune case cochée</v>
      </c>
      <c r="N185" s="142" t="str">
        <f t="shared" ca="1" si="28"/>
        <v>Aucune case cochée</v>
      </c>
      <c r="O185" s="47">
        <v>0</v>
      </c>
      <c r="P185" s="142">
        <f t="shared" si="27"/>
        <v>0</v>
      </c>
      <c r="Q185" s="142">
        <f t="shared" ca="1" si="22"/>
        <v>3</v>
      </c>
      <c r="R185" s="142">
        <f t="shared" si="18"/>
        <v>3</v>
      </c>
      <c r="S185" s="218"/>
      <c r="T185" s="218"/>
      <c r="U185" s="219"/>
      <c r="V185" s="220"/>
      <c r="W185" s="218"/>
      <c r="X185" s="220"/>
      <c r="Y185" s="217"/>
      <c r="Z185" s="17"/>
    </row>
    <row r="186" spans="1:26" ht="32.1" customHeight="1" x14ac:dyDescent="0.2">
      <c r="A186" s="44" t="s">
        <v>699</v>
      </c>
      <c r="B186" s="44" t="s">
        <v>700</v>
      </c>
      <c r="C186" s="44" t="s">
        <v>702</v>
      </c>
      <c r="D186" s="44" t="s">
        <v>272</v>
      </c>
      <c r="E186" s="45">
        <f t="shared" si="20"/>
        <v>23</v>
      </c>
      <c r="F186" s="142" t="s">
        <v>656</v>
      </c>
      <c r="G186" s="142" t="s">
        <v>651</v>
      </c>
      <c r="H186" s="142" t="s">
        <v>651</v>
      </c>
      <c r="I186" s="142" t="s">
        <v>651</v>
      </c>
      <c r="J186" s="142" t="s">
        <v>210</v>
      </c>
      <c r="K186" s="142" t="s">
        <v>210</v>
      </c>
      <c r="L186" s="142">
        <v>1</v>
      </c>
      <c r="M186" s="142" t="str">
        <f t="shared" ca="1" si="21"/>
        <v>Aucune case cochée</v>
      </c>
      <c r="N186" s="142" t="str">
        <f t="shared" ca="1" si="28"/>
        <v>Aucune case cochée</v>
      </c>
      <c r="O186" s="47">
        <v>0</v>
      </c>
      <c r="P186" s="142">
        <f t="shared" si="27"/>
        <v>0</v>
      </c>
      <c r="Q186" s="142">
        <f t="shared" ca="1" si="22"/>
        <v>3</v>
      </c>
      <c r="R186" s="142">
        <f t="shared" ref="R186:R249" si="29">IF(O186="Non concerné",O186,IF(F186="Binaire",1,3)*L186)</f>
        <v>3</v>
      </c>
      <c r="S186" s="218"/>
      <c r="T186" s="218"/>
      <c r="U186" s="219"/>
      <c r="V186" s="220"/>
      <c r="W186" s="218"/>
      <c r="X186" s="220"/>
      <c r="Y186" s="217"/>
      <c r="Z186" s="17"/>
    </row>
    <row r="187" spans="1:26" ht="32.1" customHeight="1" x14ac:dyDescent="0.2">
      <c r="A187" s="44" t="s">
        <v>699</v>
      </c>
      <c r="B187" s="44" t="s">
        <v>700</v>
      </c>
      <c r="C187" s="44" t="s">
        <v>702</v>
      </c>
      <c r="D187" s="48" t="s">
        <v>273</v>
      </c>
      <c r="E187" s="45">
        <f t="shared" si="20"/>
        <v>25</v>
      </c>
      <c r="F187" s="142" t="s">
        <v>649</v>
      </c>
      <c r="G187" s="142" t="s">
        <v>651</v>
      </c>
      <c r="H187" s="142" t="s">
        <v>651</v>
      </c>
      <c r="I187" s="142" t="s">
        <v>651</v>
      </c>
      <c r="J187" s="142" t="s">
        <v>210</v>
      </c>
      <c r="K187" s="142" t="s">
        <v>210</v>
      </c>
      <c r="L187" s="142">
        <v>2</v>
      </c>
      <c r="M187" s="142" t="str">
        <f t="shared" ca="1" si="21"/>
        <v>Aucune case cochée</v>
      </c>
      <c r="N187" s="142" t="str">
        <f t="shared" ca="1" si="28"/>
        <v>Aucune case cochée</v>
      </c>
      <c r="O187" s="47">
        <v>1</v>
      </c>
      <c r="P187" s="142">
        <f t="shared" si="27"/>
        <v>2</v>
      </c>
      <c r="Q187" s="142">
        <f t="shared" ca="1" si="22"/>
        <v>2</v>
      </c>
      <c r="R187" s="142">
        <f t="shared" si="29"/>
        <v>2</v>
      </c>
      <c r="S187" s="218"/>
      <c r="T187" s="218"/>
      <c r="U187" s="219"/>
      <c r="V187" s="220"/>
      <c r="W187" s="218"/>
      <c r="X187" s="220"/>
      <c r="Y187" s="217"/>
      <c r="Z187" s="17"/>
    </row>
    <row r="188" spans="1:26" ht="32.1" customHeight="1" x14ac:dyDescent="0.2">
      <c r="A188" s="44" t="s">
        <v>699</v>
      </c>
      <c r="B188" s="44" t="s">
        <v>700</v>
      </c>
      <c r="C188" s="44" t="s">
        <v>703</v>
      </c>
      <c r="D188" s="48" t="s">
        <v>275</v>
      </c>
      <c r="E188" s="45">
        <f t="shared" si="20"/>
        <v>28</v>
      </c>
      <c r="F188" s="142" t="s">
        <v>649</v>
      </c>
      <c r="G188" s="142" t="s">
        <v>651</v>
      </c>
      <c r="H188" s="142" t="s">
        <v>651</v>
      </c>
      <c r="I188" s="142" t="s">
        <v>651</v>
      </c>
      <c r="J188" s="142" t="s">
        <v>210</v>
      </c>
      <c r="K188" s="142" t="s">
        <v>210</v>
      </c>
      <c r="L188" s="142">
        <v>2</v>
      </c>
      <c r="M188" s="142" t="str">
        <f t="shared" ca="1" si="21"/>
        <v>Aucune case cochée</v>
      </c>
      <c r="N188" s="142" t="str">
        <f t="shared" ca="1" si="28"/>
        <v>Aucune case cochée</v>
      </c>
      <c r="O188" s="47">
        <v>1</v>
      </c>
      <c r="P188" s="142">
        <f t="shared" si="27"/>
        <v>2</v>
      </c>
      <c r="Q188" s="142">
        <f t="shared" ca="1" si="22"/>
        <v>2</v>
      </c>
      <c r="R188" s="142">
        <f t="shared" si="29"/>
        <v>2</v>
      </c>
      <c r="S188" s="218">
        <f>SUM(P188:P193)</f>
        <v>8</v>
      </c>
      <c r="T188" s="218">
        <f>SUM(R188:R193)</f>
        <v>14</v>
      </c>
      <c r="U188" s="219">
        <f>+S188/T188</f>
        <v>0.5714285714285714</v>
      </c>
      <c r="V188" s="220">
        <v>0.4</v>
      </c>
      <c r="W188" s="218"/>
      <c r="X188" s="220"/>
      <c r="Y188" s="217"/>
      <c r="Z188" s="17"/>
    </row>
    <row r="189" spans="1:26" ht="32.1" customHeight="1" x14ac:dyDescent="0.2">
      <c r="A189" s="44" t="s">
        <v>699</v>
      </c>
      <c r="B189" s="44" t="s">
        <v>700</v>
      </c>
      <c r="C189" s="44" t="s">
        <v>703</v>
      </c>
      <c r="D189" s="48" t="s">
        <v>276</v>
      </c>
      <c r="E189" s="45">
        <f t="shared" si="20"/>
        <v>30</v>
      </c>
      <c r="F189" s="142" t="s">
        <v>649</v>
      </c>
      <c r="G189" s="142" t="s">
        <v>651</v>
      </c>
      <c r="H189" s="142" t="s">
        <v>651</v>
      </c>
      <c r="I189" s="142" t="s">
        <v>651</v>
      </c>
      <c r="J189" s="142" t="s">
        <v>210</v>
      </c>
      <c r="K189" s="142" t="s">
        <v>210</v>
      </c>
      <c r="L189" s="142">
        <v>2</v>
      </c>
      <c r="M189" s="142" t="str">
        <f t="shared" ca="1" si="21"/>
        <v>Aucune case cochée</v>
      </c>
      <c r="N189" s="142" t="str">
        <f t="shared" ca="1" si="28"/>
        <v>Aucune case cochée</v>
      </c>
      <c r="O189" s="47">
        <v>1</v>
      </c>
      <c r="P189" s="142">
        <f t="shared" si="27"/>
        <v>2</v>
      </c>
      <c r="Q189" s="142">
        <f t="shared" ca="1" si="22"/>
        <v>2</v>
      </c>
      <c r="R189" s="142">
        <f t="shared" si="29"/>
        <v>2</v>
      </c>
      <c r="S189" s="218"/>
      <c r="T189" s="218"/>
      <c r="U189" s="219"/>
      <c r="V189" s="220"/>
      <c r="W189" s="218"/>
      <c r="X189" s="220"/>
      <c r="Y189" s="217"/>
      <c r="Z189" s="17"/>
    </row>
    <row r="190" spans="1:26" ht="32.1" customHeight="1" x14ac:dyDescent="0.2">
      <c r="A190" s="44" t="s">
        <v>699</v>
      </c>
      <c r="B190" s="44" t="s">
        <v>700</v>
      </c>
      <c r="C190" s="44" t="s">
        <v>703</v>
      </c>
      <c r="D190" s="48" t="s">
        <v>277</v>
      </c>
      <c r="E190" s="45">
        <f t="shared" si="20"/>
        <v>32</v>
      </c>
      <c r="F190" s="142" t="s">
        <v>649</v>
      </c>
      <c r="G190" s="142" t="s">
        <v>651</v>
      </c>
      <c r="H190" s="142" t="s">
        <v>651</v>
      </c>
      <c r="I190" s="142" t="s">
        <v>651</v>
      </c>
      <c r="J190" s="142" t="s">
        <v>210</v>
      </c>
      <c r="K190" s="142" t="s">
        <v>210</v>
      </c>
      <c r="L190" s="142">
        <v>2</v>
      </c>
      <c r="M190" s="142" t="str">
        <f t="shared" ca="1" si="21"/>
        <v>Aucune case cochée</v>
      </c>
      <c r="N190" s="142" t="str">
        <f t="shared" ca="1" si="28"/>
        <v>Aucune case cochée</v>
      </c>
      <c r="O190" s="47">
        <v>1</v>
      </c>
      <c r="P190" s="142">
        <f t="shared" si="27"/>
        <v>2</v>
      </c>
      <c r="Q190" s="142">
        <f t="shared" ca="1" si="22"/>
        <v>2</v>
      </c>
      <c r="R190" s="142">
        <f t="shared" si="29"/>
        <v>2</v>
      </c>
      <c r="S190" s="218"/>
      <c r="T190" s="218"/>
      <c r="U190" s="219"/>
      <c r="V190" s="220"/>
      <c r="W190" s="218"/>
      <c r="X190" s="220"/>
      <c r="Y190" s="217"/>
      <c r="Z190" s="17"/>
    </row>
    <row r="191" spans="1:26" ht="32.1" customHeight="1" x14ac:dyDescent="0.2">
      <c r="A191" s="44" t="s">
        <v>699</v>
      </c>
      <c r="B191" s="44" t="s">
        <v>700</v>
      </c>
      <c r="C191" s="44" t="s">
        <v>703</v>
      </c>
      <c r="D191" s="44" t="s">
        <v>278</v>
      </c>
      <c r="E191" s="45">
        <f t="shared" si="20"/>
        <v>34</v>
      </c>
      <c r="F191" s="142" t="s">
        <v>649</v>
      </c>
      <c r="G191" s="142" t="s">
        <v>651</v>
      </c>
      <c r="H191" s="142" t="s">
        <v>651</v>
      </c>
      <c r="I191" s="142" t="s">
        <v>651</v>
      </c>
      <c r="J191" s="142" t="s">
        <v>210</v>
      </c>
      <c r="K191" s="142" t="s">
        <v>210</v>
      </c>
      <c r="L191" s="142">
        <v>2</v>
      </c>
      <c r="M191" s="142" t="str">
        <f t="shared" ca="1" si="21"/>
        <v>Aucune case cochée</v>
      </c>
      <c r="N191" s="142" t="str">
        <f t="shared" ca="1" si="28"/>
        <v>Aucune case cochée</v>
      </c>
      <c r="O191" s="47">
        <v>1</v>
      </c>
      <c r="P191" s="142">
        <f t="shared" si="27"/>
        <v>2</v>
      </c>
      <c r="Q191" s="142">
        <f t="shared" ca="1" si="22"/>
        <v>2</v>
      </c>
      <c r="R191" s="142">
        <f t="shared" si="29"/>
        <v>2</v>
      </c>
      <c r="S191" s="218"/>
      <c r="T191" s="218"/>
      <c r="U191" s="219"/>
      <c r="V191" s="220"/>
      <c r="W191" s="218"/>
      <c r="X191" s="220"/>
      <c r="Y191" s="217"/>
      <c r="Z191" s="17"/>
    </row>
    <row r="192" spans="1:26" ht="32.1" customHeight="1" x14ac:dyDescent="0.2">
      <c r="A192" s="44" t="s">
        <v>699</v>
      </c>
      <c r="B192" s="44" t="s">
        <v>700</v>
      </c>
      <c r="C192" s="44" t="s">
        <v>703</v>
      </c>
      <c r="D192" s="44" t="s">
        <v>279</v>
      </c>
      <c r="E192" s="45">
        <f t="shared" si="20"/>
        <v>36</v>
      </c>
      <c r="F192" s="142" t="s">
        <v>656</v>
      </c>
      <c r="G192" s="142" t="s">
        <v>651</v>
      </c>
      <c r="H192" s="142" t="s">
        <v>651</v>
      </c>
      <c r="I192" s="142" t="s">
        <v>651</v>
      </c>
      <c r="J192" s="142" t="s">
        <v>210</v>
      </c>
      <c r="K192" s="142" t="s">
        <v>210</v>
      </c>
      <c r="L192" s="142">
        <v>1</v>
      </c>
      <c r="M192" s="142" t="str">
        <f t="shared" ca="1" si="21"/>
        <v>Aucune case cochée</v>
      </c>
      <c r="N192" s="142" t="str">
        <f t="shared" ca="1" si="28"/>
        <v>Aucune case cochée</v>
      </c>
      <c r="O192" s="47">
        <v>0</v>
      </c>
      <c r="P192" s="142">
        <f t="shared" si="27"/>
        <v>0</v>
      </c>
      <c r="Q192" s="142">
        <f t="shared" ca="1" si="22"/>
        <v>3</v>
      </c>
      <c r="R192" s="142">
        <f t="shared" si="29"/>
        <v>3</v>
      </c>
      <c r="S192" s="218"/>
      <c r="T192" s="218"/>
      <c r="U192" s="219"/>
      <c r="V192" s="220"/>
      <c r="W192" s="218"/>
      <c r="X192" s="220"/>
      <c r="Y192" s="217"/>
      <c r="Z192" s="17"/>
    </row>
    <row r="193" spans="1:26" ht="32.1" customHeight="1" x14ac:dyDescent="0.2">
      <c r="A193" s="44" t="s">
        <v>699</v>
      </c>
      <c r="B193" s="44" t="s">
        <v>700</v>
      </c>
      <c r="C193" s="44" t="s">
        <v>703</v>
      </c>
      <c r="D193" s="44" t="s">
        <v>280</v>
      </c>
      <c r="E193" s="45">
        <f t="shared" si="20"/>
        <v>38</v>
      </c>
      <c r="F193" s="142" t="s">
        <v>656</v>
      </c>
      <c r="G193" s="142" t="s">
        <v>651</v>
      </c>
      <c r="H193" s="142" t="s">
        <v>651</v>
      </c>
      <c r="I193" s="142" t="s">
        <v>651</v>
      </c>
      <c r="J193" s="142" t="s">
        <v>210</v>
      </c>
      <c r="K193" s="142" t="s">
        <v>210</v>
      </c>
      <c r="L193" s="142">
        <v>1</v>
      </c>
      <c r="M193" s="142" t="str">
        <f t="shared" ca="1" si="21"/>
        <v>Aucune case cochée</v>
      </c>
      <c r="N193" s="142" t="str">
        <f t="shared" ca="1" si="28"/>
        <v>Aucune case cochée</v>
      </c>
      <c r="O193" s="47">
        <v>0</v>
      </c>
      <c r="P193" s="142">
        <f t="shared" si="27"/>
        <v>0</v>
      </c>
      <c r="Q193" s="142">
        <f t="shared" ca="1" si="22"/>
        <v>3</v>
      </c>
      <c r="R193" s="142">
        <f t="shared" si="29"/>
        <v>3</v>
      </c>
      <c r="S193" s="218"/>
      <c r="T193" s="218"/>
      <c r="U193" s="219"/>
      <c r="V193" s="220"/>
      <c r="W193" s="218"/>
      <c r="X193" s="220"/>
      <c r="Y193" s="217"/>
      <c r="Z193" s="17"/>
    </row>
    <row r="194" spans="1:26" ht="32.1" customHeight="1" x14ac:dyDescent="0.2">
      <c r="A194" s="44" t="s">
        <v>704</v>
      </c>
      <c r="B194" s="44" t="s">
        <v>705</v>
      </c>
      <c r="C194" s="44" t="s">
        <v>706</v>
      </c>
      <c r="D194" s="44" t="s">
        <v>283</v>
      </c>
      <c r="E194" s="45">
        <f t="shared" ref="E194:E257" si="30">IF(B194&lt;&gt;B193,10,IF(C194&lt;&gt;C193,E193+3,E193+2))</f>
        <v>10</v>
      </c>
      <c r="F194" s="142" t="s">
        <v>649</v>
      </c>
      <c r="G194" s="142" t="s">
        <v>651</v>
      </c>
      <c r="H194" s="142" t="s">
        <v>651</v>
      </c>
      <c r="I194" s="142" t="s">
        <v>210</v>
      </c>
      <c r="J194" s="142" t="s">
        <v>210</v>
      </c>
      <c r="K194" s="142" t="s">
        <v>210</v>
      </c>
      <c r="L194" s="142">
        <v>2</v>
      </c>
      <c r="M194" s="142" t="str">
        <f t="shared" ca="1" si="21"/>
        <v>Aucune case cochée</v>
      </c>
      <c r="N194" s="142" t="str">
        <f t="shared" ca="1" si="28"/>
        <v>Aucune case cochée</v>
      </c>
      <c r="O194" s="47">
        <v>1</v>
      </c>
      <c r="P194" s="142">
        <f t="shared" si="27"/>
        <v>2</v>
      </c>
      <c r="Q194" s="142">
        <f t="shared" ca="1" si="22"/>
        <v>2</v>
      </c>
      <c r="R194" s="142">
        <f t="shared" si="29"/>
        <v>2</v>
      </c>
      <c r="S194" s="218">
        <f>SUM(P194:P197)</f>
        <v>7</v>
      </c>
      <c r="T194" s="218">
        <f>SUM(R194:R197)</f>
        <v>7</v>
      </c>
      <c r="U194" s="219">
        <f>+S194/T194</f>
        <v>1</v>
      </c>
      <c r="V194" s="220">
        <v>0.1</v>
      </c>
      <c r="W194" s="222">
        <f>U194*V194+U198*V198+U201*V201+U204*V204+U209*V209+U212*V212+U216*V216+U226*V226</f>
        <v>0.50470779220779227</v>
      </c>
      <c r="X194" s="220">
        <v>0.05</v>
      </c>
      <c r="Y194" s="217"/>
      <c r="Z194" s="17"/>
    </row>
    <row r="195" spans="1:26" ht="32.1" customHeight="1" x14ac:dyDescent="0.2">
      <c r="A195" s="44" t="s">
        <v>704</v>
      </c>
      <c r="B195" s="44" t="s">
        <v>705</v>
      </c>
      <c r="C195" s="44" t="s">
        <v>706</v>
      </c>
      <c r="D195" s="44" t="s">
        <v>284</v>
      </c>
      <c r="E195" s="45">
        <f t="shared" si="30"/>
        <v>12</v>
      </c>
      <c r="F195" s="142" t="s">
        <v>649</v>
      </c>
      <c r="G195" s="142" t="s">
        <v>651</v>
      </c>
      <c r="H195" s="142" t="s">
        <v>651</v>
      </c>
      <c r="I195" s="142" t="s">
        <v>210</v>
      </c>
      <c r="J195" s="142" t="s">
        <v>210</v>
      </c>
      <c r="K195" s="142" t="s">
        <v>210</v>
      </c>
      <c r="L195" s="142">
        <v>2</v>
      </c>
      <c r="M195" s="142" t="str">
        <f t="shared" ca="1" si="21"/>
        <v>Aucune case cochée</v>
      </c>
      <c r="N195" s="142" t="str">
        <f t="shared" ca="1" si="28"/>
        <v>Aucune case cochée</v>
      </c>
      <c r="O195" s="47">
        <v>1</v>
      </c>
      <c r="P195" s="142">
        <f t="shared" si="27"/>
        <v>2</v>
      </c>
      <c r="Q195" s="142">
        <f t="shared" ca="1" si="22"/>
        <v>2</v>
      </c>
      <c r="R195" s="142">
        <f t="shared" si="29"/>
        <v>2</v>
      </c>
      <c r="S195" s="218"/>
      <c r="T195" s="218"/>
      <c r="U195" s="219"/>
      <c r="V195" s="220"/>
      <c r="W195" s="218"/>
      <c r="X195" s="220"/>
      <c r="Y195" s="217"/>
      <c r="Z195" s="17"/>
    </row>
    <row r="196" spans="1:26" s="50" customFormat="1" ht="32.1" customHeight="1" x14ac:dyDescent="0.2">
      <c r="A196" s="44" t="s">
        <v>704</v>
      </c>
      <c r="B196" s="44" t="s">
        <v>705</v>
      </c>
      <c r="C196" s="44" t="s">
        <v>706</v>
      </c>
      <c r="D196" s="48" t="s">
        <v>285</v>
      </c>
      <c r="E196" s="45">
        <f t="shared" si="30"/>
        <v>14</v>
      </c>
      <c r="F196" s="143" t="s">
        <v>649</v>
      </c>
      <c r="G196" s="143" t="s">
        <v>651</v>
      </c>
      <c r="H196" s="143" t="s">
        <v>651</v>
      </c>
      <c r="I196" s="143" t="s">
        <v>210</v>
      </c>
      <c r="J196" s="143" t="s">
        <v>210</v>
      </c>
      <c r="K196" s="143" t="s">
        <v>210</v>
      </c>
      <c r="L196" s="143">
        <v>2</v>
      </c>
      <c r="M196" s="142" t="str">
        <f t="shared" ca="1" si="21"/>
        <v>Aucune case cochée</v>
      </c>
      <c r="N196" s="142" t="str">
        <f t="shared" ca="1" si="28"/>
        <v>Aucune case cochée</v>
      </c>
      <c r="O196" s="47">
        <v>1</v>
      </c>
      <c r="P196" s="142">
        <f t="shared" si="27"/>
        <v>2</v>
      </c>
      <c r="Q196" s="142">
        <f t="shared" ca="1" si="22"/>
        <v>2</v>
      </c>
      <c r="R196" s="142">
        <f t="shared" si="29"/>
        <v>2</v>
      </c>
      <c r="S196" s="218"/>
      <c r="T196" s="218"/>
      <c r="U196" s="219"/>
      <c r="V196" s="220"/>
      <c r="W196" s="218"/>
      <c r="X196" s="220"/>
      <c r="Y196" s="217"/>
      <c r="Z196" s="49"/>
    </row>
    <row r="197" spans="1:26" ht="32.1" customHeight="1" x14ac:dyDescent="0.2">
      <c r="A197" s="44" t="s">
        <v>704</v>
      </c>
      <c r="B197" s="44" t="s">
        <v>705</v>
      </c>
      <c r="C197" s="44" t="s">
        <v>706</v>
      </c>
      <c r="D197" s="44" t="s">
        <v>286</v>
      </c>
      <c r="E197" s="45">
        <f t="shared" si="30"/>
        <v>16</v>
      </c>
      <c r="F197" s="142" t="s">
        <v>649</v>
      </c>
      <c r="G197" s="142" t="s">
        <v>651</v>
      </c>
      <c r="H197" s="142" t="s">
        <v>651</v>
      </c>
      <c r="I197" s="142" t="s">
        <v>210</v>
      </c>
      <c r="J197" s="142" t="s">
        <v>210</v>
      </c>
      <c r="K197" s="142" t="s">
        <v>210</v>
      </c>
      <c r="L197" s="142">
        <v>1</v>
      </c>
      <c r="M197" s="142" t="str">
        <f t="shared" ref="M197:M260" ca="1" si="31">IFERROR(INDEX(INDIRECT(B197 &amp; "!G" &amp; E197 &amp; ":M" &amp; E197), 1, MATCH(TRUE, INDIRECT(B197 &amp; "!G" &amp; (E197+1) &amp; ":M" &amp; (E197+1)), 0)), "Aucune case cochée")</f>
        <v>Aucune case cochée</v>
      </c>
      <c r="N197" s="142" t="str">
        <f t="shared" ca="1" si="28"/>
        <v>Aucune case cochée</v>
      </c>
      <c r="O197" s="47">
        <v>1</v>
      </c>
      <c r="P197" s="142">
        <f t="shared" si="27"/>
        <v>1</v>
      </c>
      <c r="Q197" s="142">
        <f t="shared" ref="Q197:Q260" ca="1" si="32">IF(N197="Non concerné",N197,R197)</f>
        <v>1</v>
      </c>
      <c r="R197" s="142">
        <f t="shared" si="29"/>
        <v>1</v>
      </c>
      <c r="S197" s="218"/>
      <c r="T197" s="218"/>
      <c r="U197" s="219"/>
      <c r="V197" s="220"/>
      <c r="W197" s="218"/>
      <c r="X197" s="220"/>
      <c r="Y197" s="217"/>
      <c r="Z197" s="17"/>
    </row>
    <row r="198" spans="1:26" ht="32.1" customHeight="1" x14ac:dyDescent="0.2">
      <c r="A198" s="44" t="s">
        <v>704</v>
      </c>
      <c r="B198" s="44" t="s">
        <v>705</v>
      </c>
      <c r="C198" s="44" t="s">
        <v>707</v>
      </c>
      <c r="D198" s="44" t="s">
        <v>288</v>
      </c>
      <c r="E198" s="45">
        <f t="shared" si="30"/>
        <v>19</v>
      </c>
      <c r="F198" s="142" t="s">
        <v>649</v>
      </c>
      <c r="G198" s="142" t="s">
        <v>651</v>
      </c>
      <c r="H198" s="142" t="s">
        <v>651</v>
      </c>
      <c r="I198" s="142" t="s">
        <v>210</v>
      </c>
      <c r="J198" s="142" t="s">
        <v>210</v>
      </c>
      <c r="K198" s="142" t="s">
        <v>210</v>
      </c>
      <c r="L198" s="142">
        <v>2</v>
      </c>
      <c r="M198" s="142" t="str">
        <f t="shared" ca="1" si="31"/>
        <v>Aucune case cochée</v>
      </c>
      <c r="N198" s="142" t="str">
        <f t="shared" ca="1" si="28"/>
        <v>Aucune case cochée</v>
      </c>
      <c r="O198" s="47">
        <v>1</v>
      </c>
      <c r="P198" s="142">
        <f t="shared" ref="P198:P229" si="33">IF(O198="Non concerné",O198,O198*L198)</f>
        <v>2</v>
      </c>
      <c r="Q198" s="142">
        <f t="shared" ca="1" si="32"/>
        <v>2</v>
      </c>
      <c r="R198" s="142">
        <f t="shared" si="29"/>
        <v>2</v>
      </c>
      <c r="S198" s="218">
        <f>SUM(P198:P200)</f>
        <v>2</v>
      </c>
      <c r="T198" s="218">
        <f>SUM(R198:R200)</f>
        <v>8</v>
      </c>
      <c r="U198" s="219">
        <f>+S198/T198</f>
        <v>0.25</v>
      </c>
      <c r="V198" s="220">
        <v>0.1</v>
      </c>
      <c r="W198" s="218"/>
      <c r="X198" s="220"/>
      <c r="Y198" s="217"/>
      <c r="Z198" s="17"/>
    </row>
    <row r="199" spans="1:26" ht="32.1" customHeight="1" x14ac:dyDescent="0.2">
      <c r="A199" s="44" t="s">
        <v>704</v>
      </c>
      <c r="B199" s="44" t="s">
        <v>705</v>
      </c>
      <c r="C199" s="44" t="s">
        <v>707</v>
      </c>
      <c r="D199" s="44" t="s">
        <v>708</v>
      </c>
      <c r="E199" s="45">
        <f t="shared" si="30"/>
        <v>21</v>
      </c>
      <c r="F199" s="142" t="s">
        <v>656</v>
      </c>
      <c r="G199" s="142" t="s">
        <v>651</v>
      </c>
      <c r="H199" s="142" t="s">
        <v>651</v>
      </c>
      <c r="I199" s="142" t="s">
        <v>210</v>
      </c>
      <c r="J199" s="142" t="s">
        <v>210</v>
      </c>
      <c r="K199" s="142" t="s">
        <v>210</v>
      </c>
      <c r="L199" s="142">
        <v>1</v>
      </c>
      <c r="M199" s="142" t="str">
        <f t="shared" ca="1" si="31"/>
        <v>Aucune case cochée</v>
      </c>
      <c r="N199" s="142" t="str">
        <f t="shared" ca="1" si="28"/>
        <v>Aucune case cochée</v>
      </c>
      <c r="O199" s="47">
        <v>0</v>
      </c>
      <c r="P199" s="142">
        <f t="shared" si="33"/>
        <v>0</v>
      </c>
      <c r="Q199" s="142">
        <f t="shared" ca="1" si="32"/>
        <v>3</v>
      </c>
      <c r="R199" s="142">
        <f t="shared" si="29"/>
        <v>3</v>
      </c>
      <c r="S199" s="218"/>
      <c r="T199" s="218"/>
      <c r="U199" s="219"/>
      <c r="V199" s="220"/>
      <c r="W199" s="218"/>
      <c r="X199" s="220"/>
      <c r="Y199" s="217"/>
      <c r="Z199" s="17"/>
    </row>
    <row r="200" spans="1:26" ht="32.1" customHeight="1" x14ac:dyDescent="0.2">
      <c r="A200" s="44" t="s">
        <v>704</v>
      </c>
      <c r="B200" s="44" t="s">
        <v>705</v>
      </c>
      <c r="C200" s="44" t="s">
        <v>707</v>
      </c>
      <c r="D200" s="44" t="s">
        <v>290</v>
      </c>
      <c r="E200" s="45">
        <f t="shared" si="30"/>
        <v>23</v>
      </c>
      <c r="F200" s="142" t="s">
        <v>656</v>
      </c>
      <c r="G200" s="142" t="s">
        <v>651</v>
      </c>
      <c r="H200" s="142" t="s">
        <v>651</v>
      </c>
      <c r="I200" s="142" t="s">
        <v>210</v>
      </c>
      <c r="J200" s="142" t="s">
        <v>210</v>
      </c>
      <c r="K200" s="142" t="s">
        <v>210</v>
      </c>
      <c r="L200" s="142">
        <v>1</v>
      </c>
      <c r="M200" s="142" t="str">
        <f t="shared" ca="1" si="31"/>
        <v>Aucune case cochée</v>
      </c>
      <c r="N200" s="142" t="str">
        <f t="shared" ca="1" si="28"/>
        <v>Aucune case cochée</v>
      </c>
      <c r="O200" s="47">
        <v>0</v>
      </c>
      <c r="P200" s="142">
        <f t="shared" si="33"/>
        <v>0</v>
      </c>
      <c r="Q200" s="142">
        <f t="shared" ca="1" si="32"/>
        <v>3</v>
      </c>
      <c r="R200" s="142">
        <f t="shared" si="29"/>
        <v>3</v>
      </c>
      <c r="S200" s="218"/>
      <c r="T200" s="218"/>
      <c r="U200" s="219"/>
      <c r="V200" s="220"/>
      <c r="W200" s="218"/>
      <c r="X200" s="220"/>
      <c r="Y200" s="217"/>
      <c r="Z200" s="17"/>
    </row>
    <row r="201" spans="1:26" ht="32.1" customHeight="1" x14ac:dyDescent="0.2">
      <c r="A201" s="44" t="s">
        <v>704</v>
      </c>
      <c r="B201" s="44" t="s">
        <v>705</v>
      </c>
      <c r="C201" s="44" t="s">
        <v>709</v>
      </c>
      <c r="D201" s="44" t="s">
        <v>292</v>
      </c>
      <c r="E201" s="45">
        <f t="shared" si="30"/>
        <v>26</v>
      </c>
      <c r="F201" s="142" t="s">
        <v>649</v>
      </c>
      <c r="G201" s="142" t="s">
        <v>651</v>
      </c>
      <c r="H201" s="142" t="s">
        <v>651</v>
      </c>
      <c r="I201" s="142" t="s">
        <v>210</v>
      </c>
      <c r="J201" s="142" t="s">
        <v>210</v>
      </c>
      <c r="K201" s="142" t="s">
        <v>210</v>
      </c>
      <c r="L201" s="142">
        <v>2</v>
      </c>
      <c r="M201" s="142" t="str">
        <f t="shared" ca="1" si="31"/>
        <v>Aucune case cochée</v>
      </c>
      <c r="N201" s="142" t="str">
        <f t="shared" ca="1" si="28"/>
        <v>Aucune case cochée</v>
      </c>
      <c r="O201" s="47">
        <v>1</v>
      </c>
      <c r="P201" s="142">
        <f t="shared" si="33"/>
        <v>2</v>
      </c>
      <c r="Q201" s="142">
        <f t="shared" ca="1" si="32"/>
        <v>2</v>
      </c>
      <c r="R201" s="142">
        <f t="shared" si="29"/>
        <v>2</v>
      </c>
      <c r="S201" s="218">
        <f>SUM(P201:P203)</f>
        <v>2</v>
      </c>
      <c r="T201" s="218">
        <f>SUM(R201:R203)</f>
        <v>8</v>
      </c>
      <c r="U201" s="219">
        <f>+S201/T201</f>
        <v>0.25</v>
      </c>
      <c r="V201" s="220">
        <v>0.1</v>
      </c>
      <c r="W201" s="218"/>
      <c r="X201" s="220"/>
      <c r="Y201" s="217"/>
      <c r="Z201" s="17"/>
    </row>
    <row r="202" spans="1:26" ht="32.1" customHeight="1" x14ac:dyDescent="0.2">
      <c r="A202" s="44" t="s">
        <v>704</v>
      </c>
      <c r="B202" s="44" t="s">
        <v>705</v>
      </c>
      <c r="C202" s="44" t="s">
        <v>709</v>
      </c>
      <c r="D202" s="44" t="s">
        <v>293</v>
      </c>
      <c r="E202" s="45">
        <f t="shared" si="30"/>
        <v>28</v>
      </c>
      <c r="F202" s="142" t="s">
        <v>656</v>
      </c>
      <c r="G202" s="142" t="s">
        <v>651</v>
      </c>
      <c r="H202" s="142" t="s">
        <v>651</v>
      </c>
      <c r="I202" s="142" t="s">
        <v>210</v>
      </c>
      <c r="J202" s="142" t="s">
        <v>210</v>
      </c>
      <c r="K202" s="142" t="s">
        <v>210</v>
      </c>
      <c r="L202" s="142">
        <v>1</v>
      </c>
      <c r="M202" s="142" t="str">
        <f t="shared" ca="1" si="31"/>
        <v>Aucune case cochée</v>
      </c>
      <c r="N202" s="142" t="str">
        <f t="shared" ca="1" si="28"/>
        <v>Aucune case cochée</v>
      </c>
      <c r="O202" s="47">
        <v>0</v>
      </c>
      <c r="P202" s="142">
        <f t="shared" si="33"/>
        <v>0</v>
      </c>
      <c r="Q202" s="142">
        <f t="shared" ca="1" si="32"/>
        <v>3</v>
      </c>
      <c r="R202" s="142">
        <f t="shared" si="29"/>
        <v>3</v>
      </c>
      <c r="S202" s="218"/>
      <c r="T202" s="218"/>
      <c r="U202" s="219"/>
      <c r="V202" s="220"/>
      <c r="W202" s="218"/>
      <c r="X202" s="220"/>
      <c r="Y202" s="217"/>
      <c r="Z202" s="17"/>
    </row>
    <row r="203" spans="1:26" ht="32.1" customHeight="1" x14ac:dyDescent="0.2">
      <c r="A203" s="44" t="s">
        <v>704</v>
      </c>
      <c r="B203" s="44" t="s">
        <v>705</v>
      </c>
      <c r="C203" s="44" t="s">
        <v>709</v>
      </c>
      <c r="D203" s="44" t="s">
        <v>294</v>
      </c>
      <c r="E203" s="45">
        <f t="shared" si="30"/>
        <v>30</v>
      </c>
      <c r="F203" s="142" t="s">
        <v>656</v>
      </c>
      <c r="G203" s="142" t="s">
        <v>651</v>
      </c>
      <c r="H203" s="142" t="s">
        <v>651</v>
      </c>
      <c r="I203" s="142" t="s">
        <v>210</v>
      </c>
      <c r="J203" s="142" t="s">
        <v>210</v>
      </c>
      <c r="K203" s="142" t="s">
        <v>210</v>
      </c>
      <c r="L203" s="142">
        <v>1</v>
      </c>
      <c r="M203" s="142" t="str">
        <f t="shared" ca="1" si="31"/>
        <v>Aucune case cochée</v>
      </c>
      <c r="N203" s="142" t="str">
        <f t="shared" ca="1" si="28"/>
        <v>Aucune case cochée</v>
      </c>
      <c r="O203" s="47">
        <v>0</v>
      </c>
      <c r="P203" s="142">
        <f t="shared" si="33"/>
        <v>0</v>
      </c>
      <c r="Q203" s="142">
        <f t="shared" ca="1" si="32"/>
        <v>3</v>
      </c>
      <c r="R203" s="142">
        <f t="shared" si="29"/>
        <v>3</v>
      </c>
      <c r="S203" s="218"/>
      <c r="T203" s="218"/>
      <c r="U203" s="219"/>
      <c r="V203" s="220"/>
      <c r="W203" s="218"/>
      <c r="X203" s="220"/>
      <c r="Y203" s="217"/>
      <c r="Z203" s="17"/>
    </row>
    <row r="204" spans="1:26" ht="32.1" customHeight="1" x14ac:dyDescent="0.2">
      <c r="A204" s="44" t="s">
        <v>704</v>
      </c>
      <c r="B204" s="44" t="s">
        <v>705</v>
      </c>
      <c r="C204" s="44" t="s">
        <v>710</v>
      </c>
      <c r="D204" s="44" t="s">
        <v>296</v>
      </c>
      <c r="E204" s="45">
        <f t="shared" si="30"/>
        <v>33</v>
      </c>
      <c r="F204" s="142" t="s">
        <v>649</v>
      </c>
      <c r="G204" s="142" t="s">
        <v>651</v>
      </c>
      <c r="H204" s="142" t="s">
        <v>651</v>
      </c>
      <c r="I204" s="142" t="s">
        <v>210</v>
      </c>
      <c r="J204" s="142" t="s">
        <v>210</v>
      </c>
      <c r="K204" s="142" t="s">
        <v>210</v>
      </c>
      <c r="L204" s="142">
        <v>2</v>
      </c>
      <c r="M204" s="142" t="str">
        <f t="shared" ca="1" si="31"/>
        <v>Aucune case cochée</v>
      </c>
      <c r="N204" s="142" t="str">
        <f t="shared" ca="1" si="28"/>
        <v>Aucune case cochée</v>
      </c>
      <c r="O204" s="47">
        <v>1</v>
      </c>
      <c r="P204" s="142">
        <f t="shared" si="33"/>
        <v>2</v>
      </c>
      <c r="Q204" s="142">
        <f t="shared" ca="1" si="32"/>
        <v>2</v>
      </c>
      <c r="R204" s="142">
        <f t="shared" si="29"/>
        <v>2</v>
      </c>
      <c r="S204" s="218">
        <f>SUM(P204:P208)</f>
        <v>5</v>
      </c>
      <c r="T204" s="218">
        <f>SUM(R204:R208)</f>
        <v>11</v>
      </c>
      <c r="U204" s="219">
        <f>+S204/T204</f>
        <v>0.45454545454545453</v>
      </c>
      <c r="V204" s="220">
        <v>0.15</v>
      </c>
      <c r="W204" s="218"/>
      <c r="X204" s="220"/>
      <c r="Y204" s="217"/>
      <c r="Z204" s="17"/>
    </row>
    <row r="205" spans="1:26" ht="32.1" customHeight="1" x14ac:dyDescent="0.2">
      <c r="A205" s="44" t="s">
        <v>704</v>
      </c>
      <c r="B205" s="44" t="s">
        <v>705</v>
      </c>
      <c r="C205" s="44" t="s">
        <v>710</v>
      </c>
      <c r="D205" s="44" t="s">
        <v>297</v>
      </c>
      <c r="E205" s="45">
        <f t="shared" si="30"/>
        <v>35</v>
      </c>
      <c r="F205" s="142" t="s">
        <v>649</v>
      </c>
      <c r="G205" s="142" t="s">
        <v>651</v>
      </c>
      <c r="H205" s="142" t="s">
        <v>651</v>
      </c>
      <c r="I205" s="142" t="s">
        <v>210</v>
      </c>
      <c r="J205" s="142" t="s">
        <v>210</v>
      </c>
      <c r="K205" s="142" t="s">
        <v>210</v>
      </c>
      <c r="L205" s="142">
        <v>1</v>
      </c>
      <c r="M205" s="142" t="str">
        <f t="shared" ca="1" si="31"/>
        <v>Aucune case cochée</v>
      </c>
      <c r="N205" s="142" t="str">
        <f t="shared" ca="1" si="28"/>
        <v>Aucune case cochée</v>
      </c>
      <c r="O205" s="47">
        <v>1</v>
      </c>
      <c r="P205" s="142">
        <f t="shared" si="33"/>
        <v>1</v>
      </c>
      <c r="Q205" s="142">
        <f t="shared" ca="1" si="32"/>
        <v>1</v>
      </c>
      <c r="R205" s="142">
        <f t="shared" si="29"/>
        <v>1</v>
      </c>
      <c r="S205" s="218"/>
      <c r="T205" s="218"/>
      <c r="U205" s="219"/>
      <c r="V205" s="220"/>
      <c r="W205" s="218"/>
      <c r="X205" s="220"/>
      <c r="Y205" s="217"/>
      <c r="Z205" s="17"/>
    </row>
    <row r="206" spans="1:26" ht="32.1" customHeight="1" x14ac:dyDescent="0.2">
      <c r="A206" s="44" t="s">
        <v>704</v>
      </c>
      <c r="B206" s="44" t="s">
        <v>705</v>
      </c>
      <c r="C206" s="44" t="s">
        <v>710</v>
      </c>
      <c r="D206" s="44" t="s">
        <v>298</v>
      </c>
      <c r="E206" s="45">
        <f t="shared" si="30"/>
        <v>37</v>
      </c>
      <c r="F206" s="142" t="s">
        <v>656</v>
      </c>
      <c r="G206" s="142" t="s">
        <v>651</v>
      </c>
      <c r="H206" s="142" t="s">
        <v>651</v>
      </c>
      <c r="I206" s="142" t="s">
        <v>210</v>
      </c>
      <c r="J206" s="142" t="s">
        <v>210</v>
      </c>
      <c r="K206" s="142" t="s">
        <v>210</v>
      </c>
      <c r="L206" s="142">
        <v>1</v>
      </c>
      <c r="M206" s="142" t="str">
        <f t="shared" ca="1" si="31"/>
        <v>Aucune case cochée</v>
      </c>
      <c r="N206" s="142" t="str">
        <f t="shared" ca="1" si="28"/>
        <v>Aucune case cochée</v>
      </c>
      <c r="O206" s="47">
        <v>0</v>
      </c>
      <c r="P206" s="142">
        <f t="shared" si="33"/>
        <v>0</v>
      </c>
      <c r="Q206" s="142">
        <f t="shared" ca="1" si="32"/>
        <v>3</v>
      </c>
      <c r="R206" s="142">
        <f t="shared" si="29"/>
        <v>3</v>
      </c>
      <c r="S206" s="218"/>
      <c r="T206" s="218"/>
      <c r="U206" s="219"/>
      <c r="V206" s="220"/>
      <c r="W206" s="218"/>
      <c r="X206" s="220"/>
      <c r="Y206" s="217"/>
      <c r="Z206" s="17"/>
    </row>
    <row r="207" spans="1:26" ht="32.1" customHeight="1" x14ac:dyDescent="0.2">
      <c r="A207" s="44" t="s">
        <v>704</v>
      </c>
      <c r="B207" s="44" t="s">
        <v>705</v>
      </c>
      <c r="C207" s="44" t="s">
        <v>710</v>
      </c>
      <c r="D207" s="44" t="s">
        <v>711</v>
      </c>
      <c r="E207" s="45">
        <f t="shared" si="30"/>
        <v>39</v>
      </c>
      <c r="F207" s="142" t="s">
        <v>656</v>
      </c>
      <c r="G207" s="142" t="s">
        <v>651</v>
      </c>
      <c r="H207" s="142" t="s">
        <v>651</v>
      </c>
      <c r="I207" s="142" t="s">
        <v>210</v>
      </c>
      <c r="J207" s="142" t="s">
        <v>210</v>
      </c>
      <c r="K207" s="142" t="s">
        <v>210</v>
      </c>
      <c r="L207" s="142">
        <v>1</v>
      </c>
      <c r="M207" s="142" t="str">
        <f t="shared" ca="1" si="31"/>
        <v>Aucune case cochée</v>
      </c>
      <c r="N207" s="142" t="str">
        <f t="shared" ca="1" si="28"/>
        <v>Aucune case cochée</v>
      </c>
      <c r="O207" s="47">
        <v>0</v>
      </c>
      <c r="P207" s="142">
        <f t="shared" si="33"/>
        <v>0</v>
      </c>
      <c r="Q207" s="142">
        <f t="shared" ca="1" si="32"/>
        <v>3</v>
      </c>
      <c r="R207" s="142">
        <f t="shared" si="29"/>
        <v>3</v>
      </c>
      <c r="S207" s="218"/>
      <c r="T207" s="218"/>
      <c r="U207" s="219"/>
      <c r="V207" s="220"/>
      <c r="W207" s="218"/>
      <c r="X207" s="220"/>
      <c r="Y207" s="217"/>
      <c r="Z207" s="17"/>
    </row>
    <row r="208" spans="1:26" ht="32.1" customHeight="1" x14ac:dyDescent="0.2">
      <c r="A208" s="44" t="s">
        <v>704</v>
      </c>
      <c r="B208" s="44" t="s">
        <v>705</v>
      </c>
      <c r="C208" s="44" t="s">
        <v>710</v>
      </c>
      <c r="D208" s="44" t="s">
        <v>300</v>
      </c>
      <c r="E208" s="45">
        <f t="shared" si="30"/>
        <v>41</v>
      </c>
      <c r="F208" s="142" t="s">
        <v>649</v>
      </c>
      <c r="G208" s="142" t="s">
        <v>651</v>
      </c>
      <c r="H208" s="142" t="s">
        <v>651</v>
      </c>
      <c r="I208" s="142" t="s">
        <v>210</v>
      </c>
      <c r="J208" s="142" t="s">
        <v>210</v>
      </c>
      <c r="K208" s="142" t="s">
        <v>210</v>
      </c>
      <c r="L208" s="142">
        <v>2</v>
      </c>
      <c r="M208" s="142" t="str">
        <f t="shared" ca="1" si="31"/>
        <v>Aucune case cochée</v>
      </c>
      <c r="N208" s="142" t="str">
        <f t="shared" ca="1" si="28"/>
        <v>Aucune case cochée</v>
      </c>
      <c r="O208" s="47">
        <v>1</v>
      </c>
      <c r="P208" s="142">
        <f t="shared" si="33"/>
        <v>2</v>
      </c>
      <c r="Q208" s="142">
        <f t="shared" ca="1" si="32"/>
        <v>2</v>
      </c>
      <c r="R208" s="142">
        <f t="shared" si="29"/>
        <v>2</v>
      </c>
      <c r="S208" s="218"/>
      <c r="T208" s="218"/>
      <c r="U208" s="219"/>
      <c r="V208" s="220"/>
      <c r="W208" s="218"/>
      <c r="X208" s="220"/>
      <c r="Y208" s="217"/>
      <c r="Z208" s="17"/>
    </row>
    <row r="209" spans="1:26" ht="32.1" customHeight="1" x14ac:dyDescent="0.2">
      <c r="A209" s="44" t="s">
        <v>704</v>
      </c>
      <c r="B209" s="44" t="s">
        <v>705</v>
      </c>
      <c r="C209" s="44" t="s">
        <v>712</v>
      </c>
      <c r="D209" s="44" t="s">
        <v>302</v>
      </c>
      <c r="E209" s="45">
        <f t="shared" si="30"/>
        <v>44</v>
      </c>
      <c r="F209" s="142" t="s">
        <v>649</v>
      </c>
      <c r="G209" s="142" t="s">
        <v>651</v>
      </c>
      <c r="H209" s="142" t="s">
        <v>651</v>
      </c>
      <c r="I209" s="142" t="s">
        <v>210</v>
      </c>
      <c r="J209" s="142" t="s">
        <v>210</v>
      </c>
      <c r="K209" s="142" t="s">
        <v>210</v>
      </c>
      <c r="L209" s="142">
        <v>2</v>
      </c>
      <c r="M209" s="142" t="str">
        <f t="shared" ca="1" si="31"/>
        <v>Aucune case cochée</v>
      </c>
      <c r="N209" s="142" t="str">
        <f t="shared" ca="1" si="28"/>
        <v>Aucune case cochée</v>
      </c>
      <c r="O209" s="47">
        <v>1</v>
      </c>
      <c r="P209" s="142">
        <f t="shared" si="33"/>
        <v>2</v>
      </c>
      <c r="Q209" s="142">
        <f t="shared" ca="1" si="32"/>
        <v>2</v>
      </c>
      <c r="R209" s="142">
        <f t="shared" si="29"/>
        <v>2</v>
      </c>
      <c r="S209" s="218">
        <f>SUM(P209:P211)</f>
        <v>2</v>
      </c>
      <c r="T209" s="218">
        <f>SUM(R209:R211)</f>
        <v>8</v>
      </c>
      <c r="U209" s="219">
        <f>+S209/T209</f>
        <v>0.25</v>
      </c>
      <c r="V209" s="220">
        <v>0.05</v>
      </c>
      <c r="W209" s="218"/>
      <c r="X209" s="220"/>
      <c r="Y209" s="217"/>
      <c r="Z209" s="17"/>
    </row>
    <row r="210" spans="1:26" ht="32.1" customHeight="1" x14ac:dyDescent="0.2">
      <c r="A210" s="44" t="s">
        <v>704</v>
      </c>
      <c r="B210" s="44" t="s">
        <v>705</v>
      </c>
      <c r="C210" s="44" t="s">
        <v>712</v>
      </c>
      <c r="D210" s="44" t="s">
        <v>713</v>
      </c>
      <c r="E210" s="45">
        <f t="shared" si="30"/>
        <v>46</v>
      </c>
      <c r="F210" s="142" t="s">
        <v>656</v>
      </c>
      <c r="G210" s="142" t="s">
        <v>651</v>
      </c>
      <c r="H210" s="142" t="s">
        <v>651</v>
      </c>
      <c r="I210" s="142" t="s">
        <v>210</v>
      </c>
      <c r="J210" s="142" t="s">
        <v>210</v>
      </c>
      <c r="K210" s="142" t="s">
        <v>210</v>
      </c>
      <c r="L210" s="142">
        <v>1</v>
      </c>
      <c r="M210" s="142" t="str">
        <f t="shared" ca="1" si="31"/>
        <v>Aucune case cochée</v>
      </c>
      <c r="N210" s="142" t="str">
        <f t="shared" ca="1" si="28"/>
        <v>Aucune case cochée</v>
      </c>
      <c r="O210" s="47">
        <v>0</v>
      </c>
      <c r="P210" s="142">
        <f t="shared" si="33"/>
        <v>0</v>
      </c>
      <c r="Q210" s="142">
        <f t="shared" ca="1" si="32"/>
        <v>3</v>
      </c>
      <c r="R210" s="142">
        <f t="shared" si="29"/>
        <v>3</v>
      </c>
      <c r="S210" s="218"/>
      <c r="T210" s="218"/>
      <c r="U210" s="219"/>
      <c r="V210" s="220"/>
      <c r="W210" s="218"/>
      <c r="X210" s="220"/>
      <c r="Y210" s="217"/>
      <c r="Z210" s="17"/>
    </row>
    <row r="211" spans="1:26" ht="32.1" customHeight="1" x14ac:dyDescent="0.2">
      <c r="A211" s="44" t="s">
        <v>704</v>
      </c>
      <c r="B211" s="44" t="s">
        <v>705</v>
      </c>
      <c r="C211" s="44" t="s">
        <v>712</v>
      </c>
      <c r="D211" s="44" t="s">
        <v>714</v>
      </c>
      <c r="E211" s="45">
        <f t="shared" si="30"/>
        <v>48</v>
      </c>
      <c r="F211" s="142" t="s">
        <v>656</v>
      </c>
      <c r="G211" s="142" t="s">
        <v>651</v>
      </c>
      <c r="H211" s="142" t="s">
        <v>651</v>
      </c>
      <c r="I211" s="142" t="s">
        <v>210</v>
      </c>
      <c r="J211" s="142" t="s">
        <v>210</v>
      </c>
      <c r="K211" s="142" t="s">
        <v>210</v>
      </c>
      <c r="L211" s="142">
        <v>1</v>
      </c>
      <c r="M211" s="142" t="str">
        <f t="shared" ca="1" si="31"/>
        <v>Aucune case cochée</v>
      </c>
      <c r="N211" s="142" t="str">
        <f t="shared" ca="1" si="28"/>
        <v>Aucune case cochée</v>
      </c>
      <c r="O211" s="47">
        <v>0</v>
      </c>
      <c r="P211" s="142">
        <f t="shared" si="33"/>
        <v>0</v>
      </c>
      <c r="Q211" s="142">
        <f t="shared" ca="1" si="32"/>
        <v>3</v>
      </c>
      <c r="R211" s="142">
        <f t="shared" si="29"/>
        <v>3</v>
      </c>
      <c r="S211" s="218"/>
      <c r="T211" s="218"/>
      <c r="U211" s="219"/>
      <c r="V211" s="220"/>
      <c r="W211" s="218"/>
      <c r="X211" s="220"/>
      <c r="Y211" s="217"/>
      <c r="Z211" s="17"/>
    </row>
    <row r="212" spans="1:26" ht="32.1" customHeight="1" x14ac:dyDescent="0.2">
      <c r="A212" s="44" t="s">
        <v>704</v>
      </c>
      <c r="B212" s="44" t="s">
        <v>705</v>
      </c>
      <c r="C212" s="44" t="s">
        <v>715</v>
      </c>
      <c r="D212" s="44" t="s">
        <v>306</v>
      </c>
      <c r="E212" s="45">
        <f t="shared" si="30"/>
        <v>51</v>
      </c>
      <c r="F212" s="142" t="s">
        <v>649</v>
      </c>
      <c r="G212" s="142" t="s">
        <v>651</v>
      </c>
      <c r="H212" s="142" t="s">
        <v>651</v>
      </c>
      <c r="I212" s="142" t="s">
        <v>210</v>
      </c>
      <c r="J212" s="142" t="s">
        <v>210</v>
      </c>
      <c r="K212" s="142" t="s">
        <v>210</v>
      </c>
      <c r="L212" s="142">
        <v>2</v>
      </c>
      <c r="M212" s="142" t="str">
        <f t="shared" ca="1" si="31"/>
        <v>Aucune case cochée</v>
      </c>
      <c r="N212" s="142" t="str">
        <f t="shared" ca="1" si="28"/>
        <v>Aucune case cochée</v>
      </c>
      <c r="O212" s="47">
        <v>1</v>
      </c>
      <c r="P212" s="142">
        <f t="shared" si="33"/>
        <v>2</v>
      </c>
      <c r="Q212" s="142">
        <f t="shared" ca="1" si="32"/>
        <v>2</v>
      </c>
      <c r="R212" s="142">
        <f t="shared" si="29"/>
        <v>2</v>
      </c>
      <c r="S212" s="218">
        <f>SUM(P212:P215)</f>
        <v>5</v>
      </c>
      <c r="T212" s="218">
        <f>SUM(R212:R215)</f>
        <v>11</v>
      </c>
      <c r="U212" s="219">
        <f>+S212/T212</f>
        <v>0.45454545454545453</v>
      </c>
      <c r="V212" s="220">
        <v>0.1</v>
      </c>
      <c r="W212" s="218"/>
      <c r="X212" s="220"/>
      <c r="Y212" s="217"/>
      <c r="Z212" s="17"/>
    </row>
    <row r="213" spans="1:26" ht="32.1" customHeight="1" x14ac:dyDescent="0.2">
      <c r="A213" s="44" t="s">
        <v>704</v>
      </c>
      <c r="B213" s="44" t="s">
        <v>705</v>
      </c>
      <c r="C213" s="44" t="s">
        <v>715</v>
      </c>
      <c r="D213" s="44" t="s">
        <v>307</v>
      </c>
      <c r="E213" s="45">
        <f t="shared" si="30"/>
        <v>53</v>
      </c>
      <c r="F213" s="142" t="s">
        <v>656</v>
      </c>
      <c r="G213" s="142" t="s">
        <v>651</v>
      </c>
      <c r="H213" s="142" t="s">
        <v>651</v>
      </c>
      <c r="I213" s="142" t="s">
        <v>210</v>
      </c>
      <c r="J213" s="142" t="s">
        <v>210</v>
      </c>
      <c r="K213" s="142" t="s">
        <v>210</v>
      </c>
      <c r="L213" s="142">
        <v>1</v>
      </c>
      <c r="M213" s="142" t="str">
        <f t="shared" ca="1" si="31"/>
        <v>Aucune case cochée</v>
      </c>
      <c r="N213" s="142" t="str">
        <f t="shared" ca="1" si="28"/>
        <v>Aucune case cochée</v>
      </c>
      <c r="O213" s="47">
        <v>0</v>
      </c>
      <c r="P213" s="142">
        <f t="shared" si="33"/>
        <v>0</v>
      </c>
      <c r="Q213" s="142">
        <f t="shared" ca="1" si="32"/>
        <v>3</v>
      </c>
      <c r="R213" s="142">
        <f t="shared" si="29"/>
        <v>3</v>
      </c>
      <c r="S213" s="218"/>
      <c r="T213" s="218"/>
      <c r="U213" s="219"/>
      <c r="V213" s="220"/>
      <c r="W213" s="218"/>
      <c r="X213" s="220"/>
      <c r="Y213" s="217"/>
      <c r="Z213" s="17"/>
    </row>
    <row r="214" spans="1:26" ht="32.1" customHeight="1" x14ac:dyDescent="0.2">
      <c r="A214" s="44" t="s">
        <v>704</v>
      </c>
      <c r="B214" s="44" t="s">
        <v>705</v>
      </c>
      <c r="C214" s="44" t="s">
        <v>715</v>
      </c>
      <c r="D214" s="44" t="s">
        <v>308</v>
      </c>
      <c r="E214" s="45">
        <f t="shared" si="30"/>
        <v>55</v>
      </c>
      <c r="F214" s="142" t="s">
        <v>656</v>
      </c>
      <c r="G214" s="142" t="s">
        <v>651</v>
      </c>
      <c r="H214" s="142" t="s">
        <v>651</v>
      </c>
      <c r="I214" s="142" t="s">
        <v>210</v>
      </c>
      <c r="J214" s="142" t="s">
        <v>210</v>
      </c>
      <c r="K214" s="142" t="s">
        <v>210</v>
      </c>
      <c r="L214" s="142">
        <v>1</v>
      </c>
      <c r="M214" s="142" t="str">
        <f t="shared" ca="1" si="31"/>
        <v>Aucune case cochée</v>
      </c>
      <c r="N214" s="142" t="str">
        <f t="shared" ca="1" si="28"/>
        <v>Aucune case cochée</v>
      </c>
      <c r="O214" s="47">
        <v>0</v>
      </c>
      <c r="P214" s="142">
        <f t="shared" si="33"/>
        <v>0</v>
      </c>
      <c r="Q214" s="142">
        <f t="shared" ca="1" si="32"/>
        <v>3</v>
      </c>
      <c r="R214" s="142">
        <f t="shared" si="29"/>
        <v>3</v>
      </c>
      <c r="S214" s="218"/>
      <c r="T214" s="218"/>
      <c r="U214" s="219"/>
      <c r="V214" s="220"/>
      <c r="W214" s="218"/>
      <c r="X214" s="220"/>
      <c r="Y214" s="217"/>
      <c r="Z214" s="17"/>
    </row>
    <row r="215" spans="1:26" ht="32.1" customHeight="1" x14ac:dyDescent="0.2">
      <c r="A215" s="44" t="s">
        <v>704</v>
      </c>
      <c r="B215" s="44" t="s">
        <v>705</v>
      </c>
      <c r="C215" s="44" t="s">
        <v>715</v>
      </c>
      <c r="D215" s="44" t="s">
        <v>309</v>
      </c>
      <c r="E215" s="45">
        <f t="shared" si="30"/>
        <v>57</v>
      </c>
      <c r="F215" s="142" t="s">
        <v>649</v>
      </c>
      <c r="G215" s="142" t="s">
        <v>651</v>
      </c>
      <c r="H215" s="142" t="s">
        <v>651</v>
      </c>
      <c r="I215" s="142" t="s">
        <v>210</v>
      </c>
      <c r="J215" s="142" t="s">
        <v>210</v>
      </c>
      <c r="K215" s="142" t="s">
        <v>210</v>
      </c>
      <c r="L215" s="142">
        <v>3</v>
      </c>
      <c r="M215" s="142" t="str">
        <f t="shared" ca="1" si="31"/>
        <v>Aucune case cochée</v>
      </c>
      <c r="N215" s="142" t="str">
        <f t="shared" ca="1" si="28"/>
        <v>Aucune case cochée</v>
      </c>
      <c r="O215" s="47">
        <v>1</v>
      </c>
      <c r="P215" s="142">
        <f t="shared" si="33"/>
        <v>3</v>
      </c>
      <c r="Q215" s="142">
        <f t="shared" ca="1" si="32"/>
        <v>3</v>
      </c>
      <c r="R215" s="142">
        <f t="shared" si="29"/>
        <v>3</v>
      </c>
      <c r="S215" s="218"/>
      <c r="T215" s="218"/>
      <c r="U215" s="219"/>
      <c r="V215" s="220"/>
      <c r="W215" s="218"/>
      <c r="X215" s="220"/>
      <c r="Y215" s="217"/>
      <c r="Z215" s="17"/>
    </row>
    <row r="216" spans="1:26" ht="32.1" customHeight="1" x14ac:dyDescent="0.2">
      <c r="A216" s="44" t="s">
        <v>704</v>
      </c>
      <c r="B216" s="44" t="s">
        <v>716</v>
      </c>
      <c r="C216" s="44" t="s">
        <v>717</v>
      </c>
      <c r="D216" s="44" t="s">
        <v>312</v>
      </c>
      <c r="E216" s="45">
        <f t="shared" si="30"/>
        <v>10</v>
      </c>
      <c r="F216" s="142" t="s">
        <v>649</v>
      </c>
      <c r="G216" s="142" t="s">
        <v>650</v>
      </c>
      <c r="H216" s="142" t="s">
        <v>650</v>
      </c>
      <c r="I216" s="142" t="s">
        <v>651</v>
      </c>
      <c r="J216" s="142" t="s">
        <v>210</v>
      </c>
      <c r="K216" s="142" t="s">
        <v>210</v>
      </c>
      <c r="L216" s="142">
        <v>2</v>
      </c>
      <c r="M216" s="142" t="str">
        <f t="shared" ca="1" si="31"/>
        <v>Aucune case cochée</v>
      </c>
      <c r="N216" s="142" t="str">
        <f t="shared" ca="1" si="28"/>
        <v>Aucune case cochée</v>
      </c>
      <c r="O216" s="47">
        <v>1</v>
      </c>
      <c r="P216" s="142">
        <f t="shared" si="33"/>
        <v>2</v>
      </c>
      <c r="Q216" s="142">
        <f t="shared" ca="1" si="32"/>
        <v>2</v>
      </c>
      <c r="R216" s="142">
        <f t="shared" si="29"/>
        <v>2</v>
      </c>
      <c r="S216" s="218">
        <f>SUM(P216:P225)</f>
        <v>15</v>
      </c>
      <c r="T216" s="218">
        <f>SUM(R216:R225)</f>
        <v>21</v>
      </c>
      <c r="U216" s="219">
        <f>+S216/T216</f>
        <v>0.7142857142857143</v>
      </c>
      <c r="V216" s="220">
        <v>0.25</v>
      </c>
      <c r="W216" s="218"/>
      <c r="X216" s="220"/>
      <c r="Y216" s="217"/>
      <c r="Z216" s="17"/>
    </row>
    <row r="217" spans="1:26" ht="32.1" customHeight="1" x14ac:dyDescent="0.2">
      <c r="A217" s="44" t="s">
        <v>704</v>
      </c>
      <c r="B217" s="44" t="s">
        <v>716</v>
      </c>
      <c r="C217" s="44" t="s">
        <v>717</v>
      </c>
      <c r="D217" s="44" t="s">
        <v>313</v>
      </c>
      <c r="E217" s="45">
        <f t="shared" si="30"/>
        <v>12</v>
      </c>
      <c r="F217" s="142" t="s">
        <v>649</v>
      </c>
      <c r="G217" s="142" t="s">
        <v>650</v>
      </c>
      <c r="H217" s="142" t="s">
        <v>650</v>
      </c>
      <c r="I217" s="142" t="s">
        <v>651</v>
      </c>
      <c r="J217" s="142" t="s">
        <v>210</v>
      </c>
      <c r="K217" s="142" t="s">
        <v>210</v>
      </c>
      <c r="L217" s="142">
        <v>2</v>
      </c>
      <c r="M217" s="142" t="str">
        <f t="shared" ca="1" si="31"/>
        <v>Aucune case cochée</v>
      </c>
      <c r="N217" s="142" t="str">
        <f t="shared" ca="1" si="28"/>
        <v>Aucune case cochée</v>
      </c>
      <c r="O217" s="47">
        <v>1</v>
      </c>
      <c r="P217" s="142">
        <f t="shared" si="33"/>
        <v>2</v>
      </c>
      <c r="Q217" s="142">
        <f t="shared" ca="1" si="32"/>
        <v>2</v>
      </c>
      <c r="R217" s="142">
        <f t="shared" si="29"/>
        <v>2</v>
      </c>
      <c r="S217" s="218"/>
      <c r="T217" s="218"/>
      <c r="U217" s="219"/>
      <c r="V217" s="220"/>
      <c r="W217" s="218"/>
      <c r="X217" s="220"/>
      <c r="Y217" s="217"/>
      <c r="Z217" s="17"/>
    </row>
    <row r="218" spans="1:26" ht="32.1" customHeight="1" x14ac:dyDescent="0.2">
      <c r="A218" s="44" t="s">
        <v>704</v>
      </c>
      <c r="B218" s="44" t="s">
        <v>716</v>
      </c>
      <c r="C218" s="44" t="s">
        <v>717</v>
      </c>
      <c r="D218" s="44" t="s">
        <v>314</v>
      </c>
      <c r="E218" s="45">
        <f t="shared" si="30"/>
        <v>14</v>
      </c>
      <c r="F218" s="142" t="s">
        <v>649</v>
      </c>
      <c r="G218" s="142" t="s">
        <v>650</v>
      </c>
      <c r="H218" s="142" t="s">
        <v>650</v>
      </c>
      <c r="I218" s="142" t="s">
        <v>651</v>
      </c>
      <c r="J218" s="142" t="s">
        <v>210</v>
      </c>
      <c r="K218" s="142" t="s">
        <v>210</v>
      </c>
      <c r="L218" s="142">
        <v>2</v>
      </c>
      <c r="M218" s="142" t="str">
        <f t="shared" ca="1" si="31"/>
        <v>Aucune case cochée</v>
      </c>
      <c r="N218" s="142" t="str">
        <f t="shared" ca="1" si="28"/>
        <v>Aucune case cochée</v>
      </c>
      <c r="O218" s="47">
        <v>1</v>
      </c>
      <c r="P218" s="142">
        <f t="shared" si="33"/>
        <v>2</v>
      </c>
      <c r="Q218" s="142">
        <f t="shared" ca="1" si="32"/>
        <v>2</v>
      </c>
      <c r="R218" s="142">
        <f t="shared" si="29"/>
        <v>2</v>
      </c>
      <c r="S218" s="218"/>
      <c r="T218" s="218"/>
      <c r="U218" s="219"/>
      <c r="V218" s="220"/>
      <c r="W218" s="218"/>
      <c r="X218" s="220"/>
      <c r="Y218" s="217"/>
      <c r="Z218" s="17"/>
    </row>
    <row r="219" spans="1:26" ht="32.1" customHeight="1" x14ac:dyDescent="0.2">
      <c r="A219" s="44" t="s">
        <v>704</v>
      </c>
      <c r="B219" s="44" t="s">
        <v>716</v>
      </c>
      <c r="C219" s="44" t="s">
        <v>717</v>
      </c>
      <c r="D219" s="44" t="s">
        <v>315</v>
      </c>
      <c r="E219" s="45">
        <f t="shared" si="30"/>
        <v>16</v>
      </c>
      <c r="F219" s="142" t="s">
        <v>649</v>
      </c>
      <c r="G219" s="142" t="s">
        <v>650</v>
      </c>
      <c r="H219" s="142" t="s">
        <v>650</v>
      </c>
      <c r="I219" s="142" t="s">
        <v>651</v>
      </c>
      <c r="J219" s="142" t="s">
        <v>210</v>
      </c>
      <c r="K219" s="142" t="s">
        <v>210</v>
      </c>
      <c r="L219" s="142">
        <v>2</v>
      </c>
      <c r="M219" s="142" t="str">
        <f t="shared" ca="1" si="31"/>
        <v>Aucune case cochée</v>
      </c>
      <c r="N219" s="142" t="str">
        <f t="shared" ca="1" si="28"/>
        <v>Aucune case cochée</v>
      </c>
      <c r="O219" s="47">
        <v>1</v>
      </c>
      <c r="P219" s="142">
        <f t="shared" si="33"/>
        <v>2</v>
      </c>
      <c r="Q219" s="142">
        <f t="shared" ca="1" si="32"/>
        <v>2</v>
      </c>
      <c r="R219" s="142">
        <f t="shared" si="29"/>
        <v>2</v>
      </c>
      <c r="S219" s="218"/>
      <c r="T219" s="218"/>
      <c r="U219" s="219"/>
      <c r="V219" s="220"/>
      <c r="W219" s="218"/>
      <c r="X219" s="220"/>
      <c r="Y219" s="217"/>
      <c r="Z219" s="17"/>
    </row>
    <row r="220" spans="1:26" ht="32.1" customHeight="1" x14ac:dyDescent="0.2">
      <c r="A220" s="44" t="s">
        <v>704</v>
      </c>
      <c r="B220" s="44" t="s">
        <v>716</v>
      </c>
      <c r="C220" s="44" t="s">
        <v>717</v>
      </c>
      <c r="D220" s="44" t="s">
        <v>316</v>
      </c>
      <c r="E220" s="45">
        <f t="shared" si="30"/>
        <v>18</v>
      </c>
      <c r="F220" s="142" t="s">
        <v>649</v>
      </c>
      <c r="G220" s="142" t="s">
        <v>650</v>
      </c>
      <c r="H220" s="142" t="s">
        <v>651</v>
      </c>
      <c r="I220" s="142" t="s">
        <v>210</v>
      </c>
      <c r="J220" s="142" t="s">
        <v>210</v>
      </c>
      <c r="K220" s="142" t="s">
        <v>210</v>
      </c>
      <c r="L220" s="142">
        <v>2</v>
      </c>
      <c r="M220" s="142" t="str">
        <f t="shared" ca="1" si="31"/>
        <v>Aucune case cochée</v>
      </c>
      <c r="N220" s="142" t="str">
        <f t="shared" ca="1" si="28"/>
        <v>Aucune case cochée</v>
      </c>
      <c r="O220" s="47">
        <v>1</v>
      </c>
      <c r="P220" s="142">
        <f t="shared" si="33"/>
        <v>2</v>
      </c>
      <c r="Q220" s="142">
        <f t="shared" ca="1" si="32"/>
        <v>2</v>
      </c>
      <c r="R220" s="142">
        <f t="shared" si="29"/>
        <v>2</v>
      </c>
      <c r="S220" s="218"/>
      <c r="T220" s="218"/>
      <c r="U220" s="219"/>
      <c r="V220" s="220"/>
      <c r="W220" s="218"/>
      <c r="X220" s="220"/>
      <c r="Y220" s="217"/>
      <c r="Z220" s="17"/>
    </row>
    <row r="221" spans="1:26" ht="32.1" customHeight="1" x14ac:dyDescent="0.2">
      <c r="A221" s="44" t="s">
        <v>704</v>
      </c>
      <c r="B221" s="44" t="s">
        <v>716</v>
      </c>
      <c r="C221" s="44" t="s">
        <v>717</v>
      </c>
      <c r="D221" s="44" t="s">
        <v>317</v>
      </c>
      <c r="E221" s="45">
        <f t="shared" si="30"/>
        <v>20</v>
      </c>
      <c r="F221" s="142" t="s">
        <v>649</v>
      </c>
      <c r="G221" s="142" t="s">
        <v>650</v>
      </c>
      <c r="H221" s="142" t="s">
        <v>650</v>
      </c>
      <c r="I221" s="142" t="s">
        <v>651</v>
      </c>
      <c r="J221" s="142" t="s">
        <v>210</v>
      </c>
      <c r="K221" s="142" t="s">
        <v>210</v>
      </c>
      <c r="L221" s="142">
        <v>1</v>
      </c>
      <c r="M221" s="142" t="str">
        <f t="shared" ca="1" si="31"/>
        <v>Aucune case cochée</v>
      </c>
      <c r="N221" s="142" t="str">
        <f t="shared" ca="1" si="28"/>
        <v>Aucune case cochée</v>
      </c>
      <c r="O221" s="47">
        <v>1</v>
      </c>
      <c r="P221" s="142">
        <f t="shared" si="33"/>
        <v>1</v>
      </c>
      <c r="Q221" s="142">
        <f t="shared" ca="1" si="32"/>
        <v>1</v>
      </c>
      <c r="R221" s="142">
        <f t="shared" si="29"/>
        <v>1</v>
      </c>
      <c r="S221" s="218"/>
      <c r="T221" s="218"/>
      <c r="U221" s="219"/>
      <c r="V221" s="220"/>
      <c r="W221" s="218"/>
      <c r="X221" s="220"/>
      <c r="Y221" s="217"/>
      <c r="Z221" s="17"/>
    </row>
    <row r="222" spans="1:26" ht="32.1" customHeight="1" x14ac:dyDescent="0.2">
      <c r="A222" s="44" t="s">
        <v>704</v>
      </c>
      <c r="B222" s="44" t="s">
        <v>716</v>
      </c>
      <c r="C222" s="44" t="s">
        <v>717</v>
      </c>
      <c r="D222" s="44" t="s">
        <v>318</v>
      </c>
      <c r="E222" s="45">
        <f t="shared" si="30"/>
        <v>22</v>
      </c>
      <c r="F222" s="142" t="s">
        <v>649</v>
      </c>
      <c r="G222" s="142" t="s">
        <v>650</v>
      </c>
      <c r="H222" s="142" t="s">
        <v>651</v>
      </c>
      <c r="I222" s="142" t="s">
        <v>651</v>
      </c>
      <c r="J222" s="142" t="s">
        <v>210</v>
      </c>
      <c r="K222" s="142" t="s">
        <v>210</v>
      </c>
      <c r="L222" s="142">
        <v>2</v>
      </c>
      <c r="M222" s="142" t="str">
        <f t="shared" ca="1" si="31"/>
        <v>Aucune case cochée</v>
      </c>
      <c r="N222" s="142" t="str">
        <f t="shared" ca="1" si="28"/>
        <v>Aucune case cochée</v>
      </c>
      <c r="O222" s="47">
        <v>1</v>
      </c>
      <c r="P222" s="142">
        <f t="shared" si="33"/>
        <v>2</v>
      </c>
      <c r="Q222" s="142">
        <f t="shared" ca="1" si="32"/>
        <v>2</v>
      </c>
      <c r="R222" s="142">
        <f t="shared" si="29"/>
        <v>2</v>
      </c>
      <c r="S222" s="218"/>
      <c r="T222" s="218"/>
      <c r="U222" s="219"/>
      <c r="V222" s="220"/>
      <c r="W222" s="218"/>
      <c r="X222" s="220"/>
      <c r="Y222" s="217"/>
      <c r="Z222" s="17"/>
    </row>
    <row r="223" spans="1:26" s="50" customFormat="1" ht="32.1" customHeight="1" x14ac:dyDescent="0.2">
      <c r="A223" s="44" t="s">
        <v>704</v>
      </c>
      <c r="B223" s="44" t="s">
        <v>716</v>
      </c>
      <c r="C223" s="44" t="s">
        <v>717</v>
      </c>
      <c r="D223" s="48" t="s">
        <v>319</v>
      </c>
      <c r="E223" s="45">
        <f t="shared" si="30"/>
        <v>24</v>
      </c>
      <c r="F223" s="143" t="s">
        <v>649</v>
      </c>
      <c r="G223" s="143" t="s">
        <v>650</v>
      </c>
      <c r="H223" s="143" t="s">
        <v>650</v>
      </c>
      <c r="I223" s="143" t="s">
        <v>651</v>
      </c>
      <c r="J223" s="143" t="s">
        <v>210</v>
      </c>
      <c r="K223" s="143" t="s">
        <v>210</v>
      </c>
      <c r="L223" s="143">
        <v>2</v>
      </c>
      <c r="M223" s="142" t="str">
        <f t="shared" ca="1" si="31"/>
        <v>Aucune case cochée</v>
      </c>
      <c r="N223" s="142" t="str">
        <f t="shared" ca="1" si="28"/>
        <v>Aucune case cochée</v>
      </c>
      <c r="O223" s="47">
        <v>1</v>
      </c>
      <c r="P223" s="142">
        <f t="shared" si="33"/>
        <v>2</v>
      </c>
      <c r="Q223" s="142">
        <f t="shared" ca="1" si="32"/>
        <v>2</v>
      </c>
      <c r="R223" s="142">
        <f t="shared" si="29"/>
        <v>2</v>
      </c>
      <c r="S223" s="218"/>
      <c r="T223" s="218"/>
      <c r="U223" s="219"/>
      <c r="V223" s="220"/>
      <c r="W223" s="218"/>
      <c r="X223" s="220"/>
      <c r="Y223" s="217"/>
      <c r="Z223" s="49"/>
    </row>
    <row r="224" spans="1:26" ht="32.1" customHeight="1" x14ac:dyDescent="0.2">
      <c r="A224" s="44" t="s">
        <v>704</v>
      </c>
      <c r="B224" s="44" t="s">
        <v>716</v>
      </c>
      <c r="C224" s="44" t="s">
        <v>717</v>
      </c>
      <c r="D224" s="44" t="s">
        <v>320</v>
      </c>
      <c r="E224" s="45">
        <f t="shared" si="30"/>
        <v>26</v>
      </c>
      <c r="F224" s="142" t="s">
        <v>656</v>
      </c>
      <c r="G224" s="142" t="s">
        <v>650</v>
      </c>
      <c r="H224" s="142" t="s">
        <v>650</v>
      </c>
      <c r="I224" s="142" t="s">
        <v>651</v>
      </c>
      <c r="J224" s="142" t="s">
        <v>210</v>
      </c>
      <c r="K224" s="142" t="s">
        <v>210</v>
      </c>
      <c r="L224" s="142">
        <v>1</v>
      </c>
      <c r="M224" s="142" t="str">
        <f t="shared" ca="1" si="31"/>
        <v>Aucune case cochée</v>
      </c>
      <c r="N224" s="142" t="str">
        <f t="shared" ca="1" si="28"/>
        <v>Aucune case cochée</v>
      </c>
      <c r="O224" s="47">
        <v>0</v>
      </c>
      <c r="P224" s="142">
        <f t="shared" si="33"/>
        <v>0</v>
      </c>
      <c r="Q224" s="142">
        <f t="shared" ca="1" si="32"/>
        <v>3</v>
      </c>
      <c r="R224" s="142">
        <f t="shared" si="29"/>
        <v>3</v>
      </c>
      <c r="S224" s="218"/>
      <c r="T224" s="218"/>
      <c r="U224" s="219"/>
      <c r="V224" s="220"/>
      <c r="W224" s="218"/>
      <c r="X224" s="220"/>
      <c r="Y224" s="217"/>
      <c r="Z224" s="17"/>
    </row>
    <row r="225" spans="1:26" ht="32.1" customHeight="1" x14ac:dyDescent="0.2">
      <c r="A225" s="44" t="s">
        <v>704</v>
      </c>
      <c r="B225" s="44" t="s">
        <v>716</v>
      </c>
      <c r="C225" s="44" t="s">
        <v>717</v>
      </c>
      <c r="D225" s="44" t="s">
        <v>321</v>
      </c>
      <c r="E225" s="45">
        <f t="shared" si="30"/>
        <v>28</v>
      </c>
      <c r="F225" s="142" t="s">
        <v>656</v>
      </c>
      <c r="G225" s="142" t="s">
        <v>650</v>
      </c>
      <c r="H225" s="142" t="s">
        <v>650</v>
      </c>
      <c r="I225" s="142" t="s">
        <v>651</v>
      </c>
      <c r="J225" s="142" t="s">
        <v>210</v>
      </c>
      <c r="K225" s="142" t="s">
        <v>210</v>
      </c>
      <c r="L225" s="142">
        <v>1</v>
      </c>
      <c r="M225" s="142" t="str">
        <f t="shared" ca="1" si="31"/>
        <v>Aucune case cochée</v>
      </c>
      <c r="N225" s="142" t="str">
        <f t="shared" ca="1" si="28"/>
        <v>Aucune case cochée</v>
      </c>
      <c r="O225" s="47">
        <v>0</v>
      </c>
      <c r="P225" s="142">
        <f t="shared" si="33"/>
        <v>0</v>
      </c>
      <c r="Q225" s="142">
        <f t="shared" ca="1" si="32"/>
        <v>3</v>
      </c>
      <c r="R225" s="142">
        <f t="shared" si="29"/>
        <v>3</v>
      </c>
      <c r="S225" s="218"/>
      <c r="T225" s="218"/>
      <c r="U225" s="219"/>
      <c r="V225" s="220"/>
      <c r="W225" s="218"/>
      <c r="X225" s="220"/>
      <c r="Y225" s="217"/>
      <c r="Z225" s="17"/>
    </row>
    <row r="226" spans="1:26" ht="32.1" customHeight="1" x14ac:dyDescent="0.2">
      <c r="A226" s="44" t="s">
        <v>704</v>
      </c>
      <c r="B226" s="44" t="s">
        <v>716</v>
      </c>
      <c r="C226" s="44" t="s">
        <v>718</v>
      </c>
      <c r="D226" s="44" t="s">
        <v>323</v>
      </c>
      <c r="E226" s="45">
        <f t="shared" si="30"/>
        <v>31</v>
      </c>
      <c r="F226" s="142" t="s">
        <v>649</v>
      </c>
      <c r="G226" s="142" t="s">
        <v>650</v>
      </c>
      <c r="H226" s="142" t="s">
        <v>650</v>
      </c>
      <c r="I226" s="142" t="s">
        <v>651</v>
      </c>
      <c r="J226" s="142" t="s">
        <v>210</v>
      </c>
      <c r="K226" s="142" t="s">
        <v>210</v>
      </c>
      <c r="L226" s="142">
        <v>3</v>
      </c>
      <c r="M226" s="142" t="str">
        <f t="shared" ca="1" si="31"/>
        <v>Aucune case cochée</v>
      </c>
      <c r="N226" s="142" t="str">
        <f t="shared" ca="1" si="28"/>
        <v>Aucune case cochée</v>
      </c>
      <c r="O226" s="47">
        <v>1</v>
      </c>
      <c r="P226" s="142">
        <f t="shared" si="33"/>
        <v>3</v>
      </c>
      <c r="Q226" s="142">
        <f t="shared" ca="1" si="32"/>
        <v>3</v>
      </c>
      <c r="R226" s="142">
        <f t="shared" si="29"/>
        <v>3</v>
      </c>
      <c r="S226" s="218">
        <f>SUM(P226:P232)</f>
        <v>6</v>
      </c>
      <c r="T226" s="218">
        <f>SUM(R226:R232)</f>
        <v>18</v>
      </c>
      <c r="U226" s="219">
        <f>+S226/T226</f>
        <v>0.33333333333333331</v>
      </c>
      <c r="V226" s="220">
        <v>0.15</v>
      </c>
      <c r="W226" s="218"/>
      <c r="X226" s="220"/>
      <c r="Y226" s="217"/>
      <c r="Z226" s="17"/>
    </row>
    <row r="227" spans="1:26" ht="32.1" customHeight="1" x14ac:dyDescent="0.2">
      <c r="A227" s="44" t="s">
        <v>704</v>
      </c>
      <c r="B227" s="44" t="s">
        <v>716</v>
      </c>
      <c r="C227" s="44" t="s">
        <v>718</v>
      </c>
      <c r="D227" s="44" t="s">
        <v>324</v>
      </c>
      <c r="E227" s="45">
        <f t="shared" si="30"/>
        <v>33</v>
      </c>
      <c r="F227" s="142" t="s">
        <v>656</v>
      </c>
      <c r="G227" s="142" t="s">
        <v>650</v>
      </c>
      <c r="H227" s="142" t="s">
        <v>650</v>
      </c>
      <c r="I227" s="142" t="s">
        <v>651</v>
      </c>
      <c r="J227" s="142" t="s">
        <v>210</v>
      </c>
      <c r="K227" s="142" t="s">
        <v>210</v>
      </c>
      <c r="L227" s="142">
        <v>1</v>
      </c>
      <c r="M227" s="142" t="str">
        <f t="shared" ca="1" si="31"/>
        <v>Aucune case cochée</v>
      </c>
      <c r="N227" s="142" t="str">
        <f t="shared" ca="1" si="28"/>
        <v>Aucune case cochée</v>
      </c>
      <c r="O227" s="47">
        <v>0</v>
      </c>
      <c r="P227" s="142">
        <f t="shared" si="33"/>
        <v>0</v>
      </c>
      <c r="Q227" s="142">
        <f t="shared" ca="1" si="32"/>
        <v>3</v>
      </c>
      <c r="R227" s="142">
        <f t="shared" si="29"/>
        <v>3</v>
      </c>
      <c r="S227" s="218"/>
      <c r="T227" s="218"/>
      <c r="U227" s="219"/>
      <c r="V227" s="220"/>
      <c r="W227" s="218"/>
      <c r="X227" s="220"/>
      <c r="Y227" s="217"/>
      <c r="Z227" s="17"/>
    </row>
    <row r="228" spans="1:26" ht="32.1" customHeight="1" x14ac:dyDescent="0.2">
      <c r="A228" s="44" t="s">
        <v>704</v>
      </c>
      <c r="B228" s="44" t="s">
        <v>716</v>
      </c>
      <c r="C228" s="44" t="s">
        <v>718</v>
      </c>
      <c r="D228" s="44" t="s">
        <v>325</v>
      </c>
      <c r="E228" s="45">
        <f t="shared" si="30"/>
        <v>35</v>
      </c>
      <c r="F228" s="142" t="s">
        <v>656</v>
      </c>
      <c r="G228" s="142" t="s">
        <v>650</v>
      </c>
      <c r="H228" s="142" t="s">
        <v>650</v>
      </c>
      <c r="I228" s="142" t="s">
        <v>651</v>
      </c>
      <c r="J228" s="142" t="s">
        <v>210</v>
      </c>
      <c r="K228" s="142" t="s">
        <v>210</v>
      </c>
      <c r="L228" s="142">
        <v>1</v>
      </c>
      <c r="M228" s="142" t="str">
        <f t="shared" ca="1" si="31"/>
        <v>Aucune case cochée</v>
      </c>
      <c r="N228" s="142" t="str">
        <f t="shared" ca="1" si="28"/>
        <v>Aucune case cochée</v>
      </c>
      <c r="O228" s="47">
        <v>0</v>
      </c>
      <c r="P228" s="142">
        <f t="shared" si="33"/>
        <v>0</v>
      </c>
      <c r="Q228" s="142">
        <f t="shared" ca="1" si="32"/>
        <v>3</v>
      </c>
      <c r="R228" s="142">
        <f t="shared" si="29"/>
        <v>3</v>
      </c>
      <c r="S228" s="218"/>
      <c r="T228" s="218"/>
      <c r="U228" s="219"/>
      <c r="V228" s="220"/>
      <c r="W228" s="218"/>
      <c r="X228" s="220"/>
      <c r="Y228" s="217"/>
      <c r="Z228" s="17"/>
    </row>
    <row r="229" spans="1:26" ht="32.1" customHeight="1" x14ac:dyDescent="0.2">
      <c r="A229" s="44" t="s">
        <v>704</v>
      </c>
      <c r="B229" s="44" t="s">
        <v>716</v>
      </c>
      <c r="C229" s="44" t="s">
        <v>718</v>
      </c>
      <c r="D229" s="44" t="s">
        <v>326</v>
      </c>
      <c r="E229" s="45">
        <f t="shared" si="30"/>
        <v>37</v>
      </c>
      <c r="F229" s="142" t="s">
        <v>649</v>
      </c>
      <c r="G229" s="142" t="s">
        <v>651</v>
      </c>
      <c r="H229" s="142" t="s">
        <v>651</v>
      </c>
      <c r="I229" s="142" t="s">
        <v>651</v>
      </c>
      <c r="J229" s="142" t="s">
        <v>210</v>
      </c>
      <c r="K229" s="142" t="s">
        <v>210</v>
      </c>
      <c r="L229" s="142">
        <v>1</v>
      </c>
      <c r="M229" s="142" t="str">
        <f t="shared" ca="1" si="31"/>
        <v>Aucune case cochée</v>
      </c>
      <c r="N229" s="142" t="str">
        <f t="shared" ca="1" si="28"/>
        <v>Aucune case cochée</v>
      </c>
      <c r="O229" s="47">
        <v>1</v>
      </c>
      <c r="P229" s="142">
        <f t="shared" si="33"/>
        <v>1</v>
      </c>
      <c r="Q229" s="142">
        <f t="shared" ca="1" si="32"/>
        <v>1</v>
      </c>
      <c r="R229" s="142">
        <f t="shared" si="29"/>
        <v>1</v>
      </c>
      <c r="S229" s="218"/>
      <c r="T229" s="218"/>
      <c r="U229" s="219"/>
      <c r="V229" s="220"/>
      <c r="W229" s="218"/>
      <c r="X229" s="220"/>
      <c r="Y229" s="217"/>
      <c r="Z229" s="17"/>
    </row>
    <row r="230" spans="1:26" ht="32.1" customHeight="1" x14ac:dyDescent="0.2">
      <c r="A230" s="44" t="s">
        <v>704</v>
      </c>
      <c r="B230" s="44" t="s">
        <v>716</v>
      </c>
      <c r="C230" s="44" t="s">
        <v>718</v>
      </c>
      <c r="D230" s="44" t="s">
        <v>327</v>
      </c>
      <c r="E230" s="45">
        <f t="shared" si="30"/>
        <v>39</v>
      </c>
      <c r="F230" s="142" t="s">
        <v>649</v>
      </c>
      <c r="G230" s="142" t="s">
        <v>651</v>
      </c>
      <c r="H230" s="142" t="s">
        <v>651</v>
      </c>
      <c r="I230" s="142" t="s">
        <v>651</v>
      </c>
      <c r="J230" s="142" t="s">
        <v>210</v>
      </c>
      <c r="K230" s="142" t="s">
        <v>210</v>
      </c>
      <c r="L230" s="142">
        <v>2</v>
      </c>
      <c r="M230" s="142" t="str">
        <f t="shared" ca="1" si="31"/>
        <v>Aucune case cochée</v>
      </c>
      <c r="N230" s="142" t="str">
        <f t="shared" ca="1" si="28"/>
        <v>Aucune case cochée</v>
      </c>
      <c r="O230" s="47">
        <v>1</v>
      </c>
      <c r="P230" s="142">
        <f t="shared" ref="P230:P261" si="34">IF(O230="Non concerné",O230,O230*L230)</f>
        <v>2</v>
      </c>
      <c r="Q230" s="142">
        <f t="shared" ca="1" si="32"/>
        <v>2</v>
      </c>
      <c r="R230" s="142">
        <f t="shared" si="29"/>
        <v>2</v>
      </c>
      <c r="S230" s="218"/>
      <c r="T230" s="218"/>
      <c r="U230" s="219"/>
      <c r="V230" s="220"/>
      <c r="W230" s="218"/>
      <c r="X230" s="220"/>
      <c r="Y230" s="217"/>
      <c r="Z230" s="17"/>
    </row>
    <row r="231" spans="1:26" ht="32.1" customHeight="1" x14ac:dyDescent="0.2">
      <c r="A231" s="44" t="s">
        <v>704</v>
      </c>
      <c r="B231" s="44" t="s">
        <v>716</v>
      </c>
      <c r="C231" s="44" t="s">
        <v>718</v>
      </c>
      <c r="D231" s="44" t="s">
        <v>328</v>
      </c>
      <c r="E231" s="45">
        <f t="shared" si="30"/>
        <v>41</v>
      </c>
      <c r="F231" s="142" t="s">
        <v>656</v>
      </c>
      <c r="G231" s="142" t="s">
        <v>651</v>
      </c>
      <c r="H231" s="142" t="s">
        <v>651</v>
      </c>
      <c r="I231" s="142" t="s">
        <v>651</v>
      </c>
      <c r="J231" s="142" t="s">
        <v>210</v>
      </c>
      <c r="K231" s="142" t="s">
        <v>210</v>
      </c>
      <c r="L231" s="142">
        <v>1</v>
      </c>
      <c r="M231" s="142" t="str">
        <f t="shared" ca="1" si="31"/>
        <v>Aucune case cochée</v>
      </c>
      <c r="N231" s="142" t="str">
        <f t="shared" ref="N231:N289" ca="1" si="35">IF(M231="Aucune case cochée",M231,IF(M231="NC","Non concerné",IF(M231="Oui",1*L231,IF(M231="Non",0,L231*M231))))</f>
        <v>Aucune case cochée</v>
      </c>
      <c r="O231" s="47">
        <v>0</v>
      </c>
      <c r="P231" s="142">
        <f t="shared" si="34"/>
        <v>0</v>
      </c>
      <c r="Q231" s="142">
        <f t="shared" ca="1" si="32"/>
        <v>3</v>
      </c>
      <c r="R231" s="142">
        <f t="shared" si="29"/>
        <v>3</v>
      </c>
      <c r="S231" s="218"/>
      <c r="T231" s="218"/>
      <c r="U231" s="219"/>
      <c r="V231" s="220"/>
      <c r="W231" s="218"/>
      <c r="X231" s="220"/>
      <c r="Y231" s="217"/>
      <c r="Z231" s="17"/>
    </row>
    <row r="232" spans="1:26" ht="32.1" customHeight="1" x14ac:dyDescent="0.2">
      <c r="A232" s="44" t="s">
        <v>704</v>
      </c>
      <c r="B232" s="44" t="s">
        <v>716</v>
      </c>
      <c r="C232" s="44" t="s">
        <v>718</v>
      </c>
      <c r="D232" s="44" t="s">
        <v>329</v>
      </c>
      <c r="E232" s="45">
        <f t="shared" si="30"/>
        <v>43</v>
      </c>
      <c r="F232" s="142" t="s">
        <v>656</v>
      </c>
      <c r="G232" s="142" t="s">
        <v>651</v>
      </c>
      <c r="H232" s="142" t="s">
        <v>651</v>
      </c>
      <c r="I232" s="142" t="s">
        <v>651</v>
      </c>
      <c r="J232" s="142" t="s">
        <v>210</v>
      </c>
      <c r="K232" s="142" t="s">
        <v>210</v>
      </c>
      <c r="L232" s="142">
        <v>1</v>
      </c>
      <c r="M232" s="142" t="str">
        <f t="shared" ca="1" si="31"/>
        <v>Aucune case cochée</v>
      </c>
      <c r="N232" s="142" t="str">
        <f t="shared" ca="1" si="35"/>
        <v>Aucune case cochée</v>
      </c>
      <c r="O232" s="47">
        <v>0</v>
      </c>
      <c r="P232" s="142">
        <f t="shared" si="34"/>
        <v>0</v>
      </c>
      <c r="Q232" s="142">
        <f t="shared" ca="1" si="32"/>
        <v>3</v>
      </c>
      <c r="R232" s="142">
        <f t="shared" si="29"/>
        <v>3</v>
      </c>
      <c r="S232" s="218"/>
      <c r="T232" s="218"/>
      <c r="U232" s="219"/>
      <c r="V232" s="220"/>
      <c r="W232" s="218"/>
      <c r="X232" s="220"/>
      <c r="Y232" s="217"/>
      <c r="Z232" s="17"/>
    </row>
    <row r="233" spans="1:26" ht="32.1" customHeight="1" x14ac:dyDescent="0.2">
      <c r="A233" s="44" t="s">
        <v>21</v>
      </c>
      <c r="B233" s="44" t="s">
        <v>719</v>
      </c>
      <c r="C233" s="44" t="s">
        <v>682</v>
      </c>
      <c r="D233" s="44" t="s">
        <v>331</v>
      </c>
      <c r="E233" s="45">
        <f t="shared" si="30"/>
        <v>10</v>
      </c>
      <c r="F233" s="142" t="s">
        <v>649</v>
      </c>
      <c r="G233" s="142" t="s">
        <v>651</v>
      </c>
      <c r="H233" s="142" t="s">
        <v>651</v>
      </c>
      <c r="I233" s="142" t="s">
        <v>651</v>
      </c>
      <c r="J233" s="142" t="s">
        <v>210</v>
      </c>
      <c r="K233" s="142" t="s">
        <v>210</v>
      </c>
      <c r="L233" s="142">
        <v>2</v>
      </c>
      <c r="M233" s="142" t="str">
        <f t="shared" ca="1" si="31"/>
        <v>Aucune case cochée</v>
      </c>
      <c r="N233" s="142" t="str">
        <f t="shared" ca="1" si="35"/>
        <v>Aucune case cochée</v>
      </c>
      <c r="O233" s="47">
        <v>1</v>
      </c>
      <c r="P233" s="142">
        <f t="shared" si="34"/>
        <v>2</v>
      </c>
      <c r="Q233" s="142">
        <f t="shared" ca="1" si="32"/>
        <v>2</v>
      </c>
      <c r="R233" s="142">
        <f t="shared" si="29"/>
        <v>2</v>
      </c>
      <c r="S233" s="218">
        <f>SUM(P233:P237)</f>
        <v>6</v>
      </c>
      <c r="T233" s="218">
        <f>SUM(R233:R237)</f>
        <v>12</v>
      </c>
      <c r="U233" s="219">
        <f>+S233/T233</f>
        <v>0.5</v>
      </c>
      <c r="V233" s="220">
        <v>0.3</v>
      </c>
      <c r="W233" s="222">
        <f>U233*V233+U238*V238+U244*V244+U253*V253+U256*V256</f>
        <v>0.55714285714285716</v>
      </c>
      <c r="X233" s="220">
        <v>0.05</v>
      </c>
      <c r="Y233" s="217"/>
      <c r="Z233" s="17"/>
    </row>
    <row r="234" spans="1:26" ht="32.1" customHeight="1" x14ac:dyDescent="0.2">
      <c r="A234" s="44" t="s">
        <v>21</v>
      </c>
      <c r="B234" s="44" t="s">
        <v>719</v>
      </c>
      <c r="C234" s="44" t="s">
        <v>682</v>
      </c>
      <c r="D234" s="44" t="s">
        <v>332</v>
      </c>
      <c r="E234" s="45">
        <f t="shared" si="30"/>
        <v>12</v>
      </c>
      <c r="F234" s="142" t="s">
        <v>656</v>
      </c>
      <c r="G234" s="142" t="s">
        <v>651</v>
      </c>
      <c r="H234" s="142" t="s">
        <v>651</v>
      </c>
      <c r="I234" s="142" t="s">
        <v>651</v>
      </c>
      <c r="J234" s="142" t="s">
        <v>210</v>
      </c>
      <c r="K234" s="142" t="s">
        <v>210</v>
      </c>
      <c r="L234" s="142">
        <v>1</v>
      </c>
      <c r="M234" s="142" t="str">
        <f t="shared" ca="1" si="31"/>
        <v>Aucune case cochée</v>
      </c>
      <c r="N234" s="142" t="str">
        <f t="shared" ca="1" si="35"/>
        <v>Aucune case cochée</v>
      </c>
      <c r="O234" s="47">
        <v>0</v>
      </c>
      <c r="P234" s="142">
        <f t="shared" si="34"/>
        <v>0</v>
      </c>
      <c r="Q234" s="142">
        <f t="shared" ca="1" si="32"/>
        <v>3</v>
      </c>
      <c r="R234" s="142">
        <f t="shared" si="29"/>
        <v>3</v>
      </c>
      <c r="S234" s="218"/>
      <c r="T234" s="218"/>
      <c r="U234" s="219"/>
      <c r="V234" s="220"/>
      <c r="W234" s="218"/>
      <c r="X234" s="220"/>
      <c r="Y234" s="217"/>
      <c r="Z234" s="17"/>
    </row>
    <row r="235" spans="1:26" ht="32.1" customHeight="1" x14ac:dyDescent="0.2">
      <c r="A235" s="44" t="s">
        <v>21</v>
      </c>
      <c r="B235" s="44" t="s">
        <v>719</v>
      </c>
      <c r="C235" s="44" t="s">
        <v>682</v>
      </c>
      <c r="D235" s="44" t="s">
        <v>333</v>
      </c>
      <c r="E235" s="45">
        <f t="shared" si="30"/>
        <v>14</v>
      </c>
      <c r="F235" s="142" t="s">
        <v>656</v>
      </c>
      <c r="G235" s="142" t="s">
        <v>651</v>
      </c>
      <c r="H235" s="142" t="s">
        <v>651</v>
      </c>
      <c r="I235" s="142" t="s">
        <v>651</v>
      </c>
      <c r="J235" s="142" t="s">
        <v>210</v>
      </c>
      <c r="K235" s="142" t="s">
        <v>210</v>
      </c>
      <c r="L235" s="142">
        <v>1</v>
      </c>
      <c r="M235" s="142" t="str">
        <f t="shared" ca="1" si="31"/>
        <v>Aucune case cochée</v>
      </c>
      <c r="N235" s="142" t="str">
        <f t="shared" ca="1" si="35"/>
        <v>Aucune case cochée</v>
      </c>
      <c r="O235" s="47">
        <v>0</v>
      </c>
      <c r="P235" s="142">
        <f t="shared" si="34"/>
        <v>0</v>
      </c>
      <c r="Q235" s="142">
        <f t="shared" ca="1" si="32"/>
        <v>3</v>
      </c>
      <c r="R235" s="142">
        <f t="shared" si="29"/>
        <v>3</v>
      </c>
      <c r="S235" s="218"/>
      <c r="T235" s="218"/>
      <c r="U235" s="219"/>
      <c r="V235" s="220"/>
      <c r="W235" s="218"/>
      <c r="X235" s="220"/>
      <c r="Y235" s="217"/>
      <c r="Z235" s="17"/>
    </row>
    <row r="236" spans="1:26" ht="32.1" customHeight="1" x14ac:dyDescent="0.2">
      <c r="A236" s="44" t="s">
        <v>21</v>
      </c>
      <c r="B236" s="44" t="s">
        <v>719</v>
      </c>
      <c r="C236" s="44" t="s">
        <v>682</v>
      </c>
      <c r="D236" s="44" t="s">
        <v>334</v>
      </c>
      <c r="E236" s="45">
        <f t="shared" si="30"/>
        <v>16</v>
      </c>
      <c r="F236" s="142" t="s">
        <v>649</v>
      </c>
      <c r="G236" s="142" t="s">
        <v>651</v>
      </c>
      <c r="H236" s="142" t="s">
        <v>651</v>
      </c>
      <c r="I236" s="142" t="s">
        <v>651</v>
      </c>
      <c r="J236" s="142" t="s">
        <v>210</v>
      </c>
      <c r="K236" s="142" t="s">
        <v>210</v>
      </c>
      <c r="L236" s="142">
        <v>3</v>
      </c>
      <c r="M236" s="142" t="str">
        <f t="shared" ca="1" si="31"/>
        <v>Aucune case cochée</v>
      </c>
      <c r="N236" s="142" t="str">
        <f t="shared" ca="1" si="35"/>
        <v>Aucune case cochée</v>
      </c>
      <c r="O236" s="47">
        <v>1</v>
      </c>
      <c r="P236" s="142">
        <f t="shared" si="34"/>
        <v>3</v>
      </c>
      <c r="Q236" s="142">
        <f t="shared" ca="1" si="32"/>
        <v>3</v>
      </c>
      <c r="R236" s="142">
        <f t="shared" si="29"/>
        <v>3</v>
      </c>
      <c r="S236" s="218"/>
      <c r="T236" s="218"/>
      <c r="U236" s="219"/>
      <c r="V236" s="220"/>
      <c r="W236" s="218"/>
      <c r="X236" s="220"/>
      <c r="Y236" s="217"/>
      <c r="Z236" s="17"/>
    </row>
    <row r="237" spans="1:26" ht="32.1" customHeight="1" x14ac:dyDescent="0.2">
      <c r="A237" s="44" t="s">
        <v>21</v>
      </c>
      <c r="B237" s="44" t="s">
        <v>719</v>
      </c>
      <c r="C237" s="44" t="s">
        <v>682</v>
      </c>
      <c r="D237" s="44" t="s">
        <v>335</v>
      </c>
      <c r="E237" s="45">
        <f t="shared" si="30"/>
        <v>18</v>
      </c>
      <c r="F237" s="142" t="s">
        <v>649</v>
      </c>
      <c r="G237" s="142" t="s">
        <v>651</v>
      </c>
      <c r="H237" s="142" t="s">
        <v>651</v>
      </c>
      <c r="I237" s="142" t="s">
        <v>651</v>
      </c>
      <c r="J237" s="142" t="s">
        <v>210</v>
      </c>
      <c r="K237" s="142" t="s">
        <v>210</v>
      </c>
      <c r="L237" s="142">
        <v>1</v>
      </c>
      <c r="M237" s="142" t="str">
        <f t="shared" ca="1" si="31"/>
        <v>Aucune case cochée</v>
      </c>
      <c r="N237" s="142" t="str">
        <f t="shared" ca="1" si="35"/>
        <v>Aucune case cochée</v>
      </c>
      <c r="O237" s="47">
        <v>1</v>
      </c>
      <c r="P237" s="142">
        <f t="shared" si="34"/>
        <v>1</v>
      </c>
      <c r="Q237" s="142">
        <f t="shared" ca="1" si="32"/>
        <v>1</v>
      </c>
      <c r="R237" s="142">
        <f t="shared" si="29"/>
        <v>1</v>
      </c>
      <c r="S237" s="218"/>
      <c r="T237" s="218"/>
      <c r="U237" s="219"/>
      <c r="V237" s="220"/>
      <c r="W237" s="218"/>
      <c r="X237" s="220"/>
      <c r="Y237" s="217"/>
      <c r="Z237" s="17"/>
    </row>
    <row r="238" spans="1:26" ht="32.1" customHeight="1" x14ac:dyDescent="0.2">
      <c r="A238" s="44" t="s">
        <v>21</v>
      </c>
      <c r="B238" s="44" t="s">
        <v>719</v>
      </c>
      <c r="C238" s="44" t="s">
        <v>720</v>
      </c>
      <c r="D238" s="44" t="s">
        <v>337</v>
      </c>
      <c r="E238" s="45">
        <f t="shared" si="30"/>
        <v>21</v>
      </c>
      <c r="F238" s="142" t="s">
        <v>649</v>
      </c>
      <c r="G238" s="142" t="s">
        <v>651</v>
      </c>
      <c r="H238" s="142" t="s">
        <v>651</v>
      </c>
      <c r="I238" s="142" t="s">
        <v>651</v>
      </c>
      <c r="J238" s="142" t="s">
        <v>210</v>
      </c>
      <c r="K238" s="142" t="s">
        <v>210</v>
      </c>
      <c r="L238" s="142">
        <v>1</v>
      </c>
      <c r="M238" s="142" t="str">
        <f t="shared" ca="1" si="31"/>
        <v>Aucune case cochée</v>
      </c>
      <c r="N238" s="142" t="str">
        <f t="shared" ca="1" si="35"/>
        <v>Aucune case cochée</v>
      </c>
      <c r="O238" s="47">
        <v>1</v>
      </c>
      <c r="P238" s="142">
        <f t="shared" si="34"/>
        <v>1</v>
      </c>
      <c r="Q238" s="142">
        <f t="shared" ca="1" si="32"/>
        <v>1</v>
      </c>
      <c r="R238" s="142">
        <f t="shared" si="29"/>
        <v>1</v>
      </c>
      <c r="S238" s="218">
        <f>SUM(P238:P243)</f>
        <v>6</v>
      </c>
      <c r="T238" s="218">
        <f>SUM(R238:R243)</f>
        <v>6</v>
      </c>
      <c r="U238" s="219">
        <f>+S238/T238</f>
        <v>1</v>
      </c>
      <c r="V238" s="220">
        <v>0.25</v>
      </c>
      <c r="W238" s="218"/>
      <c r="X238" s="220"/>
      <c r="Y238" s="217"/>
      <c r="Z238" s="17"/>
    </row>
    <row r="239" spans="1:26" ht="32.1" customHeight="1" x14ac:dyDescent="0.2">
      <c r="A239" s="44" t="s">
        <v>21</v>
      </c>
      <c r="B239" s="44" t="s">
        <v>719</v>
      </c>
      <c r="C239" s="44" t="s">
        <v>720</v>
      </c>
      <c r="D239" s="44" t="s">
        <v>338</v>
      </c>
      <c r="E239" s="45">
        <f t="shared" si="30"/>
        <v>23</v>
      </c>
      <c r="F239" s="142" t="s">
        <v>649</v>
      </c>
      <c r="G239" s="142" t="s">
        <v>651</v>
      </c>
      <c r="H239" s="142" t="s">
        <v>651</v>
      </c>
      <c r="I239" s="142" t="s">
        <v>651</v>
      </c>
      <c r="J239" s="142" t="s">
        <v>210</v>
      </c>
      <c r="K239" s="142" t="s">
        <v>210</v>
      </c>
      <c r="L239" s="142">
        <v>1</v>
      </c>
      <c r="M239" s="142" t="str">
        <f t="shared" ca="1" si="31"/>
        <v>Aucune case cochée</v>
      </c>
      <c r="N239" s="142" t="str">
        <f t="shared" ca="1" si="35"/>
        <v>Aucune case cochée</v>
      </c>
      <c r="O239" s="47">
        <v>1</v>
      </c>
      <c r="P239" s="142">
        <f t="shared" si="34"/>
        <v>1</v>
      </c>
      <c r="Q239" s="142">
        <f t="shared" ca="1" si="32"/>
        <v>1</v>
      </c>
      <c r="R239" s="142">
        <f t="shared" si="29"/>
        <v>1</v>
      </c>
      <c r="S239" s="218"/>
      <c r="T239" s="218"/>
      <c r="U239" s="219"/>
      <c r="V239" s="220"/>
      <c r="W239" s="218"/>
      <c r="X239" s="220"/>
      <c r="Y239" s="217"/>
      <c r="Z239" s="17"/>
    </row>
    <row r="240" spans="1:26" ht="32.1" customHeight="1" x14ac:dyDescent="0.2">
      <c r="A240" s="44" t="s">
        <v>21</v>
      </c>
      <c r="B240" s="44" t="s">
        <v>719</v>
      </c>
      <c r="C240" s="44" t="s">
        <v>720</v>
      </c>
      <c r="D240" s="44" t="s">
        <v>339</v>
      </c>
      <c r="E240" s="45">
        <f t="shared" si="30"/>
        <v>25</v>
      </c>
      <c r="F240" s="142" t="s">
        <v>649</v>
      </c>
      <c r="G240" s="142" t="s">
        <v>651</v>
      </c>
      <c r="H240" s="142" t="s">
        <v>651</v>
      </c>
      <c r="I240" s="142" t="s">
        <v>651</v>
      </c>
      <c r="J240" s="142" t="s">
        <v>210</v>
      </c>
      <c r="K240" s="142" t="s">
        <v>210</v>
      </c>
      <c r="L240" s="142">
        <v>1</v>
      </c>
      <c r="M240" s="142" t="str">
        <f t="shared" ca="1" si="31"/>
        <v>Aucune case cochée</v>
      </c>
      <c r="N240" s="142" t="str">
        <f t="shared" ca="1" si="35"/>
        <v>Aucune case cochée</v>
      </c>
      <c r="O240" s="47">
        <v>1</v>
      </c>
      <c r="P240" s="142">
        <f t="shared" si="34"/>
        <v>1</v>
      </c>
      <c r="Q240" s="142">
        <f t="shared" ca="1" si="32"/>
        <v>1</v>
      </c>
      <c r="R240" s="142">
        <f t="shared" si="29"/>
        <v>1</v>
      </c>
      <c r="S240" s="218"/>
      <c r="T240" s="218"/>
      <c r="U240" s="219"/>
      <c r="V240" s="220"/>
      <c r="W240" s="218"/>
      <c r="X240" s="220"/>
      <c r="Y240" s="217"/>
      <c r="Z240" s="17"/>
    </row>
    <row r="241" spans="1:26" ht="32.1" customHeight="1" x14ac:dyDescent="0.2">
      <c r="A241" s="44" t="s">
        <v>21</v>
      </c>
      <c r="B241" s="44" t="s">
        <v>719</v>
      </c>
      <c r="C241" s="44" t="s">
        <v>720</v>
      </c>
      <c r="D241" s="44" t="s">
        <v>340</v>
      </c>
      <c r="E241" s="45">
        <f t="shared" si="30"/>
        <v>27</v>
      </c>
      <c r="F241" s="142" t="s">
        <v>649</v>
      </c>
      <c r="G241" s="142" t="s">
        <v>651</v>
      </c>
      <c r="H241" s="142" t="s">
        <v>651</v>
      </c>
      <c r="I241" s="142" t="s">
        <v>651</v>
      </c>
      <c r="J241" s="142" t="s">
        <v>210</v>
      </c>
      <c r="K241" s="142" t="s">
        <v>210</v>
      </c>
      <c r="L241" s="142">
        <v>1</v>
      </c>
      <c r="M241" s="142" t="str">
        <f t="shared" ca="1" si="31"/>
        <v>Aucune case cochée</v>
      </c>
      <c r="N241" s="142" t="str">
        <f t="shared" ca="1" si="35"/>
        <v>Aucune case cochée</v>
      </c>
      <c r="O241" s="47">
        <v>1</v>
      </c>
      <c r="P241" s="142">
        <f t="shared" si="34"/>
        <v>1</v>
      </c>
      <c r="Q241" s="142">
        <f t="shared" ca="1" si="32"/>
        <v>1</v>
      </c>
      <c r="R241" s="142">
        <f t="shared" si="29"/>
        <v>1</v>
      </c>
      <c r="S241" s="218"/>
      <c r="T241" s="218"/>
      <c r="U241" s="219"/>
      <c r="V241" s="220"/>
      <c r="W241" s="218"/>
      <c r="X241" s="220"/>
      <c r="Y241" s="217"/>
      <c r="Z241" s="17"/>
    </row>
    <row r="242" spans="1:26" ht="32.1" customHeight="1" x14ac:dyDescent="0.2">
      <c r="A242" s="44" t="s">
        <v>21</v>
      </c>
      <c r="B242" s="44" t="s">
        <v>719</v>
      </c>
      <c r="C242" s="44" t="s">
        <v>720</v>
      </c>
      <c r="D242" s="44" t="s">
        <v>721</v>
      </c>
      <c r="E242" s="45">
        <f t="shared" si="30"/>
        <v>29</v>
      </c>
      <c r="F242" s="142" t="s">
        <v>649</v>
      </c>
      <c r="G242" s="142" t="s">
        <v>651</v>
      </c>
      <c r="H242" s="142" t="s">
        <v>651</v>
      </c>
      <c r="I242" s="142" t="s">
        <v>651</v>
      </c>
      <c r="J242" s="142" t="s">
        <v>210</v>
      </c>
      <c r="K242" s="142" t="s">
        <v>210</v>
      </c>
      <c r="L242" s="142">
        <v>1</v>
      </c>
      <c r="M242" s="142" t="str">
        <f t="shared" ca="1" si="31"/>
        <v>Aucune case cochée</v>
      </c>
      <c r="N242" s="142" t="str">
        <f t="shared" ca="1" si="35"/>
        <v>Aucune case cochée</v>
      </c>
      <c r="O242" s="47">
        <v>1</v>
      </c>
      <c r="P242" s="142">
        <f t="shared" si="34"/>
        <v>1</v>
      </c>
      <c r="Q242" s="142">
        <f t="shared" ca="1" si="32"/>
        <v>1</v>
      </c>
      <c r="R242" s="142">
        <f t="shared" si="29"/>
        <v>1</v>
      </c>
      <c r="S242" s="218"/>
      <c r="T242" s="218"/>
      <c r="U242" s="219"/>
      <c r="V242" s="220"/>
      <c r="W242" s="218"/>
      <c r="X242" s="220"/>
      <c r="Y242" s="217"/>
      <c r="Z242" s="17"/>
    </row>
    <row r="243" spans="1:26" ht="32.1" customHeight="1" x14ac:dyDescent="0.2">
      <c r="A243" s="44" t="s">
        <v>21</v>
      </c>
      <c r="B243" s="44" t="s">
        <v>719</v>
      </c>
      <c r="C243" s="44" t="s">
        <v>720</v>
      </c>
      <c r="D243" s="44" t="s">
        <v>342</v>
      </c>
      <c r="E243" s="45">
        <f t="shared" si="30"/>
        <v>31</v>
      </c>
      <c r="F243" s="142" t="s">
        <v>649</v>
      </c>
      <c r="G243" s="142" t="s">
        <v>651</v>
      </c>
      <c r="H243" s="142" t="s">
        <v>651</v>
      </c>
      <c r="I243" s="142" t="s">
        <v>651</v>
      </c>
      <c r="J243" s="142" t="s">
        <v>210</v>
      </c>
      <c r="K243" s="142" t="s">
        <v>210</v>
      </c>
      <c r="L243" s="142">
        <v>1</v>
      </c>
      <c r="M243" s="142" t="str">
        <f t="shared" ca="1" si="31"/>
        <v>Aucune case cochée</v>
      </c>
      <c r="N243" s="142" t="str">
        <f t="shared" ca="1" si="35"/>
        <v>Aucune case cochée</v>
      </c>
      <c r="O243" s="47">
        <v>1</v>
      </c>
      <c r="P243" s="142">
        <f t="shared" si="34"/>
        <v>1</v>
      </c>
      <c r="Q243" s="142">
        <f t="shared" ca="1" si="32"/>
        <v>1</v>
      </c>
      <c r="R243" s="142">
        <f t="shared" si="29"/>
        <v>1</v>
      </c>
      <c r="S243" s="218"/>
      <c r="T243" s="218"/>
      <c r="U243" s="219"/>
      <c r="V243" s="220"/>
      <c r="W243" s="218"/>
      <c r="X243" s="220"/>
      <c r="Y243" s="217"/>
      <c r="Z243" s="17"/>
    </row>
    <row r="244" spans="1:26" ht="32.1" customHeight="1" x14ac:dyDescent="0.2">
      <c r="A244" s="44" t="s">
        <v>21</v>
      </c>
      <c r="B244" s="44" t="s">
        <v>719</v>
      </c>
      <c r="C244" s="44" t="s">
        <v>722</v>
      </c>
      <c r="D244" s="44" t="s">
        <v>344</v>
      </c>
      <c r="E244" s="45">
        <f t="shared" si="30"/>
        <v>34</v>
      </c>
      <c r="F244" s="142" t="s">
        <v>649</v>
      </c>
      <c r="G244" s="142" t="s">
        <v>651</v>
      </c>
      <c r="H244" s="142" t="s">
        <v>651</v>
      </c>
      <c r="I244" s="142" t="s">
        <v>651</v>
      </c>
      <c r="J244" s="142" t="s">
        <v>210</v>
      </c>
      <c r="K244" s="142" t="s">
        <v>210</v>
      </c>
      <c r="L244" s="142">
        <v>2</v>
      </c>
      <c r="M244" s="142" t="str">
        <f t="shared" ca="1" si="31"/>
        <v>Aucune case cochée</v>
      </c>
      <c r="N244" s="142" t="str">
        <f t="shared" ca="1" si="35"/>
        <v>Aucune case cochée</v>
      </c>
      <c r="O244" s="47">
        <v>1</v>
      </c>
      <c r="P244" s="142">
        <f t="shared" si="34"/>
        <v>2</v>
      </c>
      <c r="Q244" s="142">
        <f t="shared" ca="1" si="32"/>
        <v>2</v>
      </c>
      <c r="R244" s="142">
        <f t="shared" si="29"/>
        <v>2</v>
      </c>
      <c r="S244" s="218">
        <f>SUM(P244:P252)</f>
        <v>9</v>
      </c>
      <c r="T244" s="218">
        <f>SUM(R244:R252)</f>
        <v>21</v>
      </c>
      <c r="U244" s="219">
        <f>+S244/T244</f>
        <v>0.42857142857142855</v>
      </c>
      <c r="V244" s="220">
        <v>0.25</v>
      </c>
      <c r="W244" s="218"/>
      <c r="X244" s="220"/>
      <c r="Y244" s="217"/>
      <c r="Z244" s="17"/>
    </row>
    <row r="245" spans="1:26" ht="32.1" customHeight="1" x14ac:dyDescent="0.2">
      <c r="A245" s="44" t="s">
        <v>21</v>
      </c>
      <c r="B245" s="44" t="s">
        <v>719</v>
      </c>
      <c r="C245" s="44" t="s">
        <v>722</v>
      </c>
      <c r="D245" s="44" t="s">
        <v>345</v>
      </c>
      <c r="E245" s="45">
        <f t="shared" si="30"/>
        <v>36</v>
      </c>
      <c r="F245" s="142" t="s">
        <v>649</v>
      </c>
      <c r="G245" s="142" t="s">
        <v>651</v>
      </c>
      <c r="H245" s="142" t="s">
        <v>651</v>
      </c>
      <c r="I245" s="142" t="s">
        <v>651</v>
      </c>
      <c r="J245" s="142" t="s">
        <v>210</v>
      </c>
      <c r="K245" s="142" t="s">
        <v>210</v>
      </c>
      <c r="L245" s="142">
        <v>1</v>
      </c>
      <c r="M245" s="142" t="str">
        <f t="shared" ca="1" si="31"/>
        <v>Aucune case cochée</v>
      </c>
      <c r="N245" s="142" t="str">
        <f t="shared" ca="1" si="35"/>
        <v>Aucune case cochée</v>
      </c>
      <c r="O245" s="47">
        <v>1</v>
      </c>
      <c r="P245" s="142">
        <f t="shared" si="34"/>
        <v>1</v>
      </c>
      <c r="Q245" s="142">
        <f t="shared" ca="1" si="32"/>
        <v>1</v>
      </c>
      <c r="R245" s="142">
        <f t="shared" si="29"/>
        <v>1</v>
      </c>
      <c r="S245" s="218"/>
      <c r="T245" s="218"/>
      <c r="U245" s="219"/>
      <c r="V245" s="220"/>
      <c r="W245" s="218"/>
      <c r="X245" s="220"/>
      <c r="Y245" s="217"/>
      <c r="Z245" s="17"/>
    </row>
    <row r="246" spans="1:26" ht="32.1" customHeight="1" x14ac:dyDescent="0.2">
      <c r="A246" s="44" t="s">
        <v>21</v>
      </c>
      <c r="B246" s="44" t="s">
        <v>719</v>
      </c>
      <c r="C246" s="44" t="s">
        <v>722</v>
      </c>
      <c r="D246" s="44" t="s">
        <v>346</v>
      </c>
      <c r="E246" s="45">
        <f t="shared" si="30"/>
        <v>38</v>
      </c>
      <c r="F246" s="142" t="s">
        <v>649</v>
      </c>
      <c r="G246" s="142" t="s">
        <v>651</v>
      </c>
      <c r="H246" s="142" t="s">
        <v>651</v>
      </c>
      <c r="I246" s="142" t="s">
        <v>651</v>
      </c>
      <c r="J246" s="142" t="s">
        <v>210</v>
      </c>
      <c r="K246" s="142" t="s">
        <v>210</v>
      </c>
      <c r="L246" s="142">
        <v>2</v>
      </c>
      <c r="M246" s="142" t="str">
        <f t="shared" ca="1" si="31"/>
        <v>Aucune case cochée</v>
      </c>
      <c r="N246" s="142" t="str">
        <f t="shared" ca="1" si="35"/>
        <v>Aucune case cochée</v>
      </c>
      <c r="O246" s="47">
        <v>1</v>
      </c>
      <c r="P246" s="142">
        <f t="shared" si="34"/>
        <v>2</v>
      </c>
      <c r="Q246" s="142">
        <f t="shared" ca="1" si="32"/>
        <v>2</v>
      </c>
      <c r="R246" s="142">
        <f t="shared" si="29"/>
        <v>2</v>
      </c>
      <c r="S246" s="218"/>
      <c r="T246" s="218"/>
      <c r="U246" s="219"/>
      <c r="V246" s="220"/>
      <c r="W246" s="218"/>
      <c r="X246" s="220"/>
      <c r="Y246" s="217"/>
      <c r="Z246" s="17"/>
    </row>
    <row r="247" spans="1:26" ht="32.1" customHeight="1" x14ac:dyDescent="0.2">
      <c r="A247" s="44" t="s">
        <v>21</v>
      </c>
      <c r="B247" s="44" t="s">
        <v>719</v>
      </c>
      <c r="C247" s="44" t="s">
        <v>722</v>
      </c>
      <c r="D247" s="44" t="s">
        <v>347</v>
      </c>
      <c r="E247" s="45">
        <f t="shared" si="30"/>
        <v>40</v>
      </c>
      <c r="F247" s="142" t="s">
        <v>656</v>
      </c>
      <c r="G247" s="142" t="s">
        <v>651</v>
      </c>
      <c r="H247" s="142" t="s">
        <v>651</v>
      </c>
      <c r="I247" s="142" t="s">
        <v>651</v>
      </c>
      <c r="J247" s="142" t="s">
        <v>210</v>
      </c>
      <c r="K247" s="142" t="s">
        <v>210</v>
      </c>
      <c r="L247" s="142">
        <v>1</v>
      </c>
      <c r="M247" s="142" t="str">
        <f t="shared" ca="1" si="31"/>
        <v>Aucune case cochée</v>
      </c>
      <c r="N247" s="142" t="str">
        <f t="shared" ca="1" si="35"/>
        <v>Aucune case cochée</v>
      </c>
      <c r="O247" s="47">
        <v>0</v>
      </c>
      <c r="P247" s="142">
        <f t="shared" si="34"/>
        <v>0</v>
      </c>
      <c r="Q247" s="142">
        <f t="shared" ca="1" si="32"/>
        <v>3</v>
      </c>
      <c r="R247" s="142">
        <f t="shared" si="29"/>
        <v>3</v>
      </c>
      <c r="S247" s="218"/>
      <c r="T247" s="218"/>
      <c r="U247" s="219"/>
      <c r="V247" s="220"/>
      <c r="W247" s="218"/>
      <c r="X247" s="220"/>
      <c r="Y247" s="217"/>
      <c r="Z247" s="17"/>
    </row>
    <row r="248" spans="1:26" ht="32.1" customHeight="1" x14ac:dyDescent="0.2">
      <c r="A248" s="44" t="s">
        <v>21</v>
      </c>
      <c r="B248" s="44" t="s">
        <v>719</v>
      </c>
      <c r="C248" s="44" t="s">
        <v>722</v>
      </c>
      <c r="D248" s="44" t="s">
        <v>348</v>
      </c>
      <c r="E248" s="45">
        <f t="shared" si="30"/>
        <v>42</v>
      </c>
      <c r="F248" s="142" t="s">
        <v>656</v>
      </c>
      <c r="G248" s="142" t="s">
        <v>651</v>
      </c>
      <c r="H248" s="142" t="s">
        <v>651</v>
      </c>
      <c r="I248" s="142" t="s">
        <v>651</v>
      </c>
      <c r="J248" s="142" t="s">
        <v>210</v>
      </c>
      <c r="K248" s="142" t="s">
        <v>210</v>
      </c>
      <c r="L248" s="142">
        <v>1</v>
      </c>
      <c r="M248" s="142" t="str">
        <f t="shared" ca="1" si="31"/>
        <v>Aucune case cochée</v>
      </c>
      <c r="N248" s="142" t="str">
        <f t="shared" ca="1" si="35"/>
        <v>Aucune case cochée</v>
      </c>
      <c r="O248" s="47">
        <v>0</v>
      </c>
      <c r="P248" s="142">
        <f t="shared" si="34"/>
        <v>0</v>
      </c>
      <c r="Q248" s="142">
        <f t="shared" ca="1" si="32"/>
        <v>3</v>
      </c>
      <c r="R248" s="142">
        <f t="shared" si="29"/>
        <v>3</v>
      </c>
      <c r="S248" s="218"/>
      <c r="T248" s="218"/>
      <c r="U248" s="219"/>
      <c r="V248" s="220"/>
      <c r="W248" s="218"/>
      <c r="X248" s="220"/>
      <c r="Y248" s="217"/>
      <c r="Z248" s="17"/>
    </row>
    <row r="249" spans="1:26" ht="32.1" customHeight="1" x14ac:dyDescent="0.2">
      <c r="A249" s="44" t="s">
        <v>21</v>
      </c>
      <c r="B249" s="44" t="s">
        <v>719</v>
      </c>
      <c r="C249" s="44" t="s">
        <v>722</v>
      </c>
      <c r="D249" s="44" t="s">
        <v>349</v>
      </c>
      <c r="E249" s="45">
        <f t="shared" si="30"/>
        <v>44</v>
      </c>
      <c r="F249" s="142" t="s">
        <v>649</v>
      </c>
      <c r="G249" s="142" t="s">
        <v>651</v>
      </c>
      <c r="H249" s="142" t="s">
        <v>651</v>
      </c>
      <c r="I249" s="142" t="s">
        <v>651</v>
      </c>
      <c r="J249" s="142" t="s">
        <v>210</v>
      </c>
      <c r="K249" s="142" t="s">
        <v>210</v>
      </c>
      <c r="L249" s="142">
        <v>2</v>
      </c>
      <c r="M249" s="142" t="str">
        <f t="shared" ca="1" si="31"/>
        <v>Aucune case cochée</v>
      </c>
      <c r="N249" s="142" t="str">
        <f t="shared" ca="1" si="35"/>
        <v>Aucune case cochée</v>
      </c>
      <c r="O249" s="47">
        <v>1</v>
      </c>
      <c r="P249" s="142">
        <f t="shared" si="34"/>
        <v>2</v>
      </c>
      <c r="Q249" s="142">
        <f t="shared" ca="1" si="32"/>
        <v>2</v>
      </c>
      <c r="R249" s="142">
        <f t="shared" si="29"/>
        <v>2</v>
      </c>
      <c r="S249" s="218"/>
      <c r="T249" s="218"/>
      <c r="U249" s="219"/>
      <c r="V249" s="220"/>
      <c r="W249" s="218"/>
      <c r="X249" s="220"/>
      <c r="Y249" s="217"/>
      <c r="Z249" s="17"/>
    </row>
    <row r="250" spans="1:26" ht="32.1" customHeight="1" x14ac:dyDescent="0.2">
      <c r="A250" s="44" t="s">
        <v>21</v>
      </c>
      <c r="B250" s="44" t="s">
        <v>719</v>
      </c>
      <c r="C250" s="44" t="s">
        <v>722</v>
      </c>
      <c r="D250" s="44" t="s">
        <v>350</v>
      </c>
      <c r="E250" s="45">
        <f t="shared" si="30"/>
        <v>46</v>
      </c>
      <c r="F250" s="142" t="s">
        <v>656</v>
      </c>
      <c r="G250" s="142" t="s">
        <v>651</v>
      </c>
      <c r="H250" s="142" t="s">
        <v>651</v>
      </c>
      <c r="I250" s="142" t="s">
        <v>651</v>
      </c>
      <c r="J250" s="142" t="s">
        <v>210</v>
      </c>
      <c r="K250" s="142" t="s">
        <v>210</v>
      </c>
      <c r="L250" s="142">
        <v>1</v>
      </c>
      <c r="M250" s="142" t="str">
        <f t="shared" ca="1" si="31"/>
        <v>Aucune case cochée</v>
      </c>
      <c r="N250" s="142" t="str">
        <f t="shared" ca="1" si="35"/>
        <v>Aucune case cochée</v>
      </c>
      <c r="O250" s="47">
        <v>0</v>
      </c>
      <c r="P250" s="142">
        <f t="shared" si="34"/>
        <v>0</v>
      </c>
      <c r="Q250" s="142">
        <f t="shared" ca="1" si="32"/>
        <v>3</v>
      </c>
      <c r="R250" s="142">
        <f t="shared" ref="R250:R313" si="36">IF(O250="Non concerné",O250,IF(F250="Binaire",1,3)*L250)</f>
        <v>3</v>
      </c>
      <c r="S250" s="218"/>
      <c r="T250" s="218"/>
      <c r="U250" s="219"/>
      <c r="V250" s="220"/>
      <c r="W250" s="218"/>
      <c r="X250" s="220"/>
      <c r="Y250" s="217"/>
      <c r="Z250" s="17"/>
    </row>
    <row r="251" spans="1:26" ht="32.1" customHeight="1" x14ac:dyDescent="0.2">
      <c r="A251" s="44" t="s">
        <v>21</v>
      </c>
      <c r="B251" s="44" t="s">
        <v>719</v>
      </c>
      <c r="C251" s="44" t="s">
        <v>722</v>
      </c>
      <c r="D251" s="44" t="s">
        <v>351</v>
      </c>
      <c r="E251" s="45">
        <f t="shared" si="30"/>
        <v>48</v>
      </c>
      <c r="F251" s="142" t="s">
        <v>656</v>
      </c>
      <c r="G251" s="142" t="s">
        <v>651</v>
      </c>
      <c r="H251" s="142" t="s">
        <v>651</v>
      </c>
      <c r="I251" s="142" t="s">
        <v>651</v>
      </c>
      <c r="J251" s="142" t="s">
        <v>210</v>
      </c>
      <c r="K251" s="142" t="s">
        <v>210</v>
      </c>
      <c r="L251" s="142">
        <v>1</v>
      </c>
      <c r="M251" s="142" t="str">
        <f t="shared" ca="1" si="31"/>
        <v>Aucune case cochée</v>
      </c>
      <c r="N251" s="142" t="str">
        <f t="shared" ca="1" si="35"/>
        <v>Aucune case cochée</v>
      </c>
      <c r="O251" s="47">
        <v>0</v>
      </c>
      <c r="P251" s="142">
        <f t="shared" si="34"/>
        <v>0</v>
      </c>
      <c r="Q251" s="142">
        <f t="shared" ca="1" si="32"/>
        <v>3</v>
      </c>
      <c r="R251" s="142">
        <f t="shared" si="36"/>
        <v>3</v>
      </c>
      <c r="S251" s="218"/>
      <c r="T251" s="218"/>
      <c r="U251" s="219"/>
      <c r="V251" s="220"/>
      <c r="W251" s="218"/>
      <c r="X251" s="220"/>
      <c r="Y251" s="217"/>
      <c r="Z251" s="17"/>
    </row>
    <row r="252" spans="1:26" ht="32.1" customHeight="1" x14ac:dyDescent="0.2">
      <c r="A252" s="44" t="s">
        <v>21</v>
      </c>
      <c r="B252" s="44" t="s">
        <v>719</v>
      </c>
      <c r="C252" s="44" t="s">
        <v>722</v>
      </c>
      <c r="D252" s="44" t="s">
        <v>352</v>
      </c>
      <c r="E252" s="45">
        <f t="shared" si="30"/>
        <v>50</v>
      </c>
      <c r="F252" s="142" t="s">
        <v>649</v>
      </c>
      <c r="G252" s="142" t="s">
        <v>651</v>
      </c>
      <c r="H252" s="142" t="s">
        <v>651</v>
      </c>
      <c r="I252" s="142" t="s">
        <v>651</v>
      </c>
      <c r="J252" s="142" t="s">
        <v>210</v>
      </c>
      <c r="K252" s="142" t="s">
        <v>210</v>
      </c>
      <c r="L252" s="142">
        <v>2</v>
      </c>
      <c r="M252" s="142" t="str">
        <f t="shared" ca="1" si="31"/>
        <v>Aucune case cochée</v>
      </c>
      <c r="N252" s="142" t="str">
        <f t="shared" ca="1" si="35"/>
        <v>Aucune case cochée</v>
      </c>
      <c r="O252" s="47">
        <v>1</v>
      </c>
      <c r="P252" s="142">
        <f t="shared" si="34"/>
        <v>2</v>
      </c>
      <c r="Q252" s="142">
        <f t="shared" ca="1" si="32"/>
        <v>2</v>
      </c>
      <c r="R252" s="142">
        <f t="shared" si="36"/>
        <v>2</v>
      </c>
      <c r="S252" s="218"/>
      <c r="T252" s="218"/>
      <c r="U252" s="219"/>
      <c r="V252" s="220"/>
      <c r="W252" s="218"/>
      <c r="X252" s="220"/>
      <c r="Y252" s="217"/>
      <c r="Z252" s="17"/>
    </row>
    <row r="253" spans="1:26" ht="32.1" customHeight="1" x14ac:dyDescent="0.2">
      <c r="A253" s="44" t="s">
        <v>21</v>
      </c>
      <c r="B253" s="44" t="s">
        <v>723</v>
      </c>
      <c r="C253" s="44" t="s">
        <v>724</v>
      </c>
      <c r="D253" s="44" t="s">
        <v>355</v>
      </c>
      <c r="E253" s="45">
        <f t="shared" si="30"/>
        <v>10</v>
      </c>
      <c r="F253" s="142" t="s">
        <v>649</v>
      </c>
      <c r="G253" s="142" t="s">
        <v>651</v>
      </c>
      <c r="H253" s="142" t="s">
        <v>651</v>
      </c>
      <c r="I253" s="142" t="s">
        <v>210</v>
      </c>
      <c r="J253" s="142" t="s">
        <v>210</v>
      </c>
      <c r="K253" s="142" t="s">
        <v>210</v>
      </c>
      <c r="L253" s="142">
        <v>2</v>
      </c>
      <c r="M253" s="142" t="str">
        <f t="shared" ca="1" si="31"/>
        <v>Aucune case cochée</v>
      </c>
      <c r="N253" s="142" t="str">
        <f t="shared" ca="1" si="35"/>
        <v>Aucune case cochée</v>
      </c>
      <c r="O253" s="47">
        <v>1</v>
      </c>
      <c r="P253" s="142">
        <f t="shared" si="34"/>
        <v>2</v>
      </c>
      <c r="Q253" s="142">
        <f t="shared" ca="1" si="32"/>
        <v>2</v>
      </c>
      <c r="R253" s="142">
        <f t="shared" si="36"/>
        <v>2</v>
      </c>
      <c r="S253" s="218">
        <f>SUM(P253:P255)</f>
        <v>2</v>
      </c>
      <c r="T253" s="218">
        <f>SUM(R253:R255)</f>
        <v>8</v>
      </c>
      <c r="U253" s="219">
        <f>+S253/T253</f>
        <v>0.25</v>
      </c>
      <c r="V253" s="220">
        <v>0.1</v>
      </c>
      <c r="W253" s="218"/>
      <c r="X253" s="220"/>
      <c r="Y253" s="217"/>
      <c r="Z253" s="17"/>
    </row>
    <row r="254" spans="1:26" ht="32.1" customHeight="1" x14ac:dyDescent="0.2">
      <c r="A254" s="44" t="s">
        <v>21</v>
      </c>
      <c r="B254" s="44" t="s">
        <v>723</v>
      </c>
      <c r="C254" s="44" t="s">
        <v>724</v>
      </c>
      <c r="D254" s="44" t="s">
        <v>356</v>
      </c>
      <c r="E254" s="45">
        <f t="shared" si="30"/>
        <v>12</v>
      </c>
      <c r="F254" s="142" t="s">
        <v>656</v>
      </c>
      <c r="G254" s="142" t="s">
        <v>651</v>
      </c>
      <c r="H254" s="142" t="s">
        <v>651</v>
      </c>
      <c r="I254" s="142" t="s">
        <v>210</v>
      </c>
      <c r="J254" s="142" t="s">
        <v>210</v>
      </c>
      <c r="K254" s="142" t="s">
        <v>210</v>
      </c>
      <c r="L254" s="142">
        <v>1</v>
      </c>
      <c r="M254" s="142" t="str">
        <f t="shared" ca="1" si="31"/>
        <v>Aucune case cochée</v>
      </c>
      <c r="N254" s="142" t="str">
        <f t="shared" ca="1" si="35"/>
        <v>Aucune case cochée</v>
      </c>
      <c r="O254" s="47">
        <v>0</v>
      </c>
      <c r="P254" s="142">
        <f t="shared" si="34"/>
        <v>0</v>
      </c>
      <c r="Q254" s="142">
        <f t="shared" ca="1" si="32"/>
        <v>3</v>
      </c>
      <c r="R254" s="142">
        <f t="shared" si="36"/>
        <v>3</v>
      </c>
      <c r="S254" s="218"/>
      <c r="T254" s="218"/>
      <c r="U254" s="219"/>
      <c r="V254" s="220"/>
      <c r="W254" s="218"/>
      <c r="X254" s="220"/>
      <c r="Y254" s="217"/>
      <c r="Z254" s="17"/>
    </row>
    <row r="255" spans="1:26" ht="32.1" customHeight="1" x14ac:dyDescent="0.2">
      <c r="A255" s="44" t="s">
        <v>21</v>
      </c>
      <c r="B255" s="44" t="s">
        <v>723</v>
      </c>
      <c r="C255" s="44" t="s">
        <v>724</v>
      </c>
      <c r="D255" s="44" t="s">
        <v>357</v>
      </c>
      <c r="E255" s="45">
        <f t="shared" si="30"/>
        <v>14</v>
      </c>
      <c r="F255" s="142" t="s">
        <v>656</v>
      </c>
      <c r="G255" s="142" t="s">
        <v>651</v>
      </c>
      <c r="H255" s="142" t="s">
        <v>651</v>
      </c>
      <c r="I255" s="142" t="s">
        <v>210</v>
      </c>
      <c r="J255" s="142" t="s">
        <v>210</v>
      </c>
      <c r="K255" s="142" t="s">
        <v>210</v>
      </c>
      <c r="L255" s="142">
        <v>1</v>
      </c>
      <c r="M255" s="142" t="str">
        <f t="shared" ca="1" si="31"/>
        <v>Aucune case cochée</v>
      </c>
      <c r="N255" s="142" t="str">
        <f t="shared" ca="1" si="35"/>
        <v>Aucune case cochée</v>
      </c>
      <c r="O255" s="47">
        <v>0</v>
      </c>
      <c r="P255" s="142">
        <f t="shared" si="34"/>
        <v>0</v>
      </c>
      <c r="Q255" s="142">
        <f t="shared" ca="1" si="32"/>
        <v>3</v>
      </c>
      <c r="R255" s="142">
        <f t="shared" si="36"/>
        <v>3</v>
      </c>
      <c r="S255" s="218"/>
      <c r="T255" s="218"/>
      <c r="U255" s="219"/>
      <c r="V255" s="220"/>
      <c r="W255" s="218"/>
      <c r="X255" s="220"/>
      <c r="Y255" s="217"/>
      <c r="Z255" s="17"/>
    </row>
    <row r="256" spans="1:26" ht="32.1" customHeight="1" x14ac:dyDescent="0.2">
      <c r="A256" s="44" t="s">
        <v>21</v>
      </c>
      <c r="B256" s="44" t="s">
        <v>723</v>
      </c>
      <c r="C256" s="44" t="s">
        <v>725</v>
      </c>
      <c r="D256" s="44" t="s">
        <v>359</v>
      </c>
      <c r="E256" s="45">
        <f t="shared" si="30"/>
        <v>17</v>
      </c>
      <c r="F256" s="142" t="s">
        <v>649</v>
      </c>
      <c r="G256" s="142" t="s">
        <v>651</v>
      </c>
      <c r="H256" s="142" t="s">
        <v>651</v>
      </c>
      <c r="I256" s="142" t="s">
        <v>651</v>
      </c>
      <c r="J256" s="142" t="s">
        <v>210</v>
      </c>
      <c r="K256" s="142" t="s">
        <v>210</v>
      </c>
      <c r="L256" s="142">
        <v>2</v>
      </c>
      <c r="M256" s="142" t="str">
        <f t="shared" ca="1" si="31"/>
        <v>Aucune case cochée</v>
      </c>
      <c r="N256" s="142" t="str">
        <f t="shared" ca="1" si="35"/>
        <v>Aucune case cochée</v>
      </c>
      <c r="O256" s="47">
        <v>1</v>
      </c>
      <c r="P256" s="142">
        <f t="shared" si="34"/>
        <v>2</v>
      </c>
      <c r="Q256" s="142">
        <f t="shared" ca="1" si="32"/>
        <v>2</v>
      </c>
      <c r="R256" s="142">
        <f t="shared" si="36"/>
        <v>2</v>
      </c>
      <c r="S256" s="218">
        <f>SUM(P256:P261)</f>
        <v>4</v>
      </c>
      <c r="T256" s="218">
        <f>SUM(R256:R261)</f>
        <v>16</v>
      </c>
      <c r="U256" s="219">
        <f>+S256/T256</f>
        <v>0.25</v>
      </c>
      <c r="V256" s="220">
        <v>0.1</v>
      </c>
      <c r="W256" s="218"/>
      <c r="X256" s="220"/>
      <c r="Y256" s="217"/>
      <c r="Z256" s="17"/>
    </row>
    <row r="257" spans="1:26" ht="32.1" customHeight="1" x14ac:dyDescent="0.2">
      <c r="A257" s="44" t="s">
        <v>21</v>
      </c>
      <c r="B257" s="44" t="s">
        <v>723</v>
      </c>
      <c r="C257" s="44" t="s">
        <v>725</v>
      </c>
      <c r="D257" s="44" t="s">
        <v>726</v>
      </c>
      <c r="E257" s="45">
        <f t="shared" si="30"/>
        <v>19</v>
      </c>
      <c r="F257" s="142" t="s">
        <v>656</v>
      </c>
      <c r="G257" s="142" t="s">
        <v>651</v>
      </c>
      <c r="H257" s="142" t="s">
        <v>651</v>
      </c>
      <c r="I257" s="142" t="s">
        <v>651</v>
      </c>
      <c r="J257" s="142" t="s">
        <v>210</v>
      </c>
      <c r="K257" s="142" t="s">
        <v>210</v>
      </c>
      <c r="L257" s="142">
        <v>1</v>
      </c>
      <c r="M257" s="142" t="str">
        <f t="shared" ca="1" si="31"/>
        <v>Aucune case cochée</v>
      </c>
      <c r="N257" s="142" t="str">
        <f t="shared" ca="1" si="35"/>
        <v>Aucune case cochée</v>
      </c>
      <c r="O257" s="47">
        <v>0</v>
      </c>
      <c r="P257" s="142">
        <f t="shared" si="34"/>
        <v>0</v>
      </c>
      <c r="Q257" s="142">
        <f t="shared" ca="1" si="32"/>
        <v>3</v>
      </c>
      <c r="R257" s="142">
        <f t="shared" si="36"/>
        <v>3</v>
      </c>
      <c r="S257" s="218"/>
      <c r="T257" s="218"/>
      <c r="U257" s="219"/>
      <c r="V257" s="220"/>
      <c r="W257" s="218"/>
      <c r="X257" s="220"/>
      <c r="Y257" s="217"/>
      <c r="Z257" s="17"/>
    </row>
    <row r="258" spans="1:26" ht="32.1" customHeight="1" x14ac:dyDescent="0.2">
      <c r="A258" s="44" t="s">
        <v>21</v>
      </c>
      <c r="B258" s="44" t="s">
        <v>723</v>
      </c>
      <c r="C258" s="44" t="s">
        <v>725</v>
      </c>
      <c r="D258" s="44" t="s">
        <v>727</v>
      </c>
      <c r="E258" s="45">
        <f t="shared" ref="E258:E321" si="37">IF(B258&lt;&gt;B257,10,IF(C258&lt;&gt;C257,E257+3,E257+2))</f>
        <v>21</v>
      </c>
      <c r="F258" s="142" t="s">
        <v>656</v>
      </c>
      <c r="G258" s="142" t="s">
        <v>651</v>
      </c>
      <c r="H258" s="142" t="s">
        <v>651</v>
      </c>
      <c r="I258" s="142" t="s">
        <v>651</v>
      </c>
      <c r="J258" s="142" t="s">
        <v>210</v>
      </c>
      <c r="K258" s="142" t="s">
        <v>210</v>
      </c>
      <c r="L258" s="142">
        <v>1</v>
      </c>
      <c r="M258" s="142" t="str">
        <f t="shared" ca="1" si="31"/>
        <v>Aucune case cochée</v>
      </c>
      <c r="N258" s="142" t="str">
        <f t="shared" ca="1" si="35"/>
        <v>Aucune case cochée</v>
      </c>
      <c r="O258" s="47">
        <v>0</v>
      </c>
      <c r="P258" s="142">
        <f t="shared" si="34"/>
        <v>0</v>
      </c>
      <c r="Q258" s="142">
        <f t="shared" ca="1" si="32"/>
        <v>3</v>
      </c>
      <c r="R258" s="142">
        <f t="shared" si="36"/>
        <v>3</v>
      </c>
      <c r="S258" s="218"/>
      <c r="T258" s="218"/>
      <c r="U258" s="219"/>
      <c r="V258" s="220"/>
      <c r="W258" s="218"/>
      <c r="X258" s="220"/>
      <c r="Y258" s="217"/>
      <c r="Z258" s="17"/>
    </row>
    <row r="259" spans="1:26" ht="32.1" customHeight="1" x14ac:dyDescent="0.2">
      <c r="A259" s="44" t="s">
        <v>21</v>
      </c>
      <c r="B259" s="44" t="s">
        <v>723</v>
      </c>
      <c r="C259" s="44" t="s">
        <v>725</v>
      </c>
      <c r="D259" s="44" t="s">
        <v>362</v>
      </c>
      <c r="E259" s="45">
        <f t="shared" si="37"/>
        <v>23</v>
      </c>
      <c r="F259" s="142" t="s">
        <v>649</v>
      </c>
      <c r="G259" s="142" t="s">
        <v>651</v>
      </c>
      <c r="H259" s="142" t="s">
        <v>651</v>
      </c>
      <c r="I259" s="142" t="s">
        <v>651</v>
      </c>
      <c r="J259" s="142" t="s">
        <v>210</v>
      </c>
      <c r="K259" s="142" t="s">
        <v>210</v>
      </c>
      <c r="L259" s="142">
        <v>2</v>
      </c>
      <c r="M259" s="142" t="str">
        <f t="shared" ca="1" si="31"/>
        <v>Aucune case cochée</v>
      </c>
      <c r="N259" s="142" t="str">
        <f t="shared" ca="1" si="35"/>
        <v>Aucune case cochée</v>
      </c>
      <c r="O259" s="47">
        <v>1</v>
      </c>
      <c r="P259" s="142">
        <f t="shared" si="34"/>
        <v>2</v>
      </c>
      <c r="Q259" s="142">
        <f t="shared" ca="1" si="32"/>
        <v>2</v>
      </c>
      <c r="R259" s="142">
        <f t="shared" si="36"/>
        <v>2</v>
      </c>
      <c r="S259" s="218"/>
      <c r="T259" s="218"/>
      <c r="U259" s="219"/>
      <c r="V259" s="220"/>
      <c r="W259" s="218"/>
      <c r="X259" s="220"/>
      <c r="Y259" s="217"/>
      <c r="Z259" s="17"/>
    </row>
    <row r="260" spans="1:26" ht="32.1" customHeight="1" x14ac:dyDescent="0.2">
      <c r="A260" s="44" t="s">
        <v>21</v>
      </c>
      <c r="B260" s="44" t="s">
        <v>723</v>
      </c>
      <c r="C260" s="44" t="s">
        <v>725</v>
      </c>
      <c r="D260" s="44" t="s">
        <v>728</v>
      </c>
      <c r="E260" s="45">
        <f t="shared" si="37"/>
        <v>25</v>
      </c>
      <c r="F260" s="142" t="s">
        <v>656</v>
      </c>
      <c r="G260" s="142" t="s">
        <v>651</v>
      </c>
      <c r="H260" s="142" t="s">
        <v>651</v>
      </c>
      <c r="I260" s="142" t="s">
        <v>651</v>
      </c>
      <c r="J260" s="142" t="s">
        <v>210</v>
      </c>
      <c r="K260" s="142" t="s">
        <v>210</v>
      </c>
      <c r="L260" s="142">
        <v>1</v>
      </c>
      <c r="M260" s="142" t="str">
        <f t="shared" ca="1" si="31"/>
        <v>Aucune case cochée</v>
      </c>
      <c r="N260" s="142" t="str">
        <f t="shared" ca="1" si="35"/>
        <v>Aucune case cochée</v>
      </c>
      <c r="O260" s="47">
        <v>0</v>
      </c>
      <c r="P260" s="142">
        <f t="shared" si="34"/>
        <v>0</v>
      </c>
      <c r="Q260" s="142">
        <f t="shared" ca="1" si="32"/>
        <v>3</v>
      </c>
      <c r="R260" s="142">
        <f t="shared" si="36"/>
        <v>3</v>
      </c>
      <c r="S260" s="218"/>
      <c r="T260" s="218"/>
      <c r="U260" s="219"/>
      <c r="V260" s="220"/>
      <c r="W260" s="218"/>
      <c r="X260" s="220"/>
      <c r="Y260" s="217"/>
      <c r="Z260" s="17"/>
    </row>
    <row r="261" spans="1:26" ht="32.1" customHeight="1" x14ac:dyDescent="0.2">
      <c r="A261" s="44" t="s">
        <v>21</v>
      </c>
      <c r="B261" s="44" t="s">
        <v>723</v>
      </c>
      <c r="C261" s="44" t="s">
        <v>725</v>
      </c>
      <c r="D261" s="44" t="s">
        <v>672</v>
      </c>
      <c r="E261" s="45">
        <f t="shared" si="37"/>
        <v>27</v>
      </c>
      <c r="F261" s="142" t="s">
        <v>656</v>
      </c>
      <c r="G261" s="142" t="s">
        <v>651</v>
      </c>
      <c r="H261" s="142" t="s">
        <v>651</v>
      </c>
      <c r="I261" s="142" t="s">
        <v>651</v>
      </c>
      <c r="J261" s="142" t="s">
        <v>210</v>
      </c>
      <c r="K261" s="142" t="s">
        <v>210</v>
      </c>
      <c r="L261" s="142">
        <v>1</v>
      </c>
      <c r="M261" s="142" t="str">
        <f t="shared" ref="M261:M324" ca="1" si="38">IFERROR(INDEX(INDIRECT(B261 &amp; "!G" &amp; E261 &amp; ":M" &amp; E261), 1, MATCH(TRUE, INDIRECT(B261 &amp; "!G" &amp; (E261+1) &amp; ":M" &amp; (E261+1)), 0)), "Aucune case cochée")</f>
        <v>Aucune case cochée</v>
      </c>
      <c r="N261" s="142" t="str">
        <f t="shared" ca="1" si="35"/>
        <v>Aucune case cochée</v>
      </c>
      <c r="O261" s="47">
        <v>0</v>
      </c>
      <c r="P261" s="142">
        <f t="shared" si="34"/>
        <v>0</v>
      </c>
      <c r="Q261" s="142">
        <f t="shared" ref="Q261:Q324" ca="1" si="39">IF(N261="Non concerné",N261,R261)</f>
        <v>3</v>
      </c>
      <c r="R261" s="142">
        <f t="shared" si="36"/>
        <v>3</v>
      </c>
      <c r="S261" s="218"/>
      <c r="T261" s="218"/>
      <c r="U261" s="219"/>
      <c r="V261" s="220"/>
      <c r="W261" s="218"/>
      <c r="X261" s="220"/>
      <c r="Y261" s="217"/>
      <c r="Z261" s="17"/>
    </row>
    <row r="262" spans="1:26" ht="32.1" customHeight="1" x14ac:dyDescent="0.2">
      <c r="A262" s="44" t="s">
        <v>729</v>
      </c>
      <c r="B262" s="44" t="s">
        <v>730</v>
      </c>
      <c r="C262" s="44" t="s">
        <v>729</v>
      </c>
      <c r="D262" s="44" t="s">
        <v>365</v>
      </c>
      <c r="E262" s="45">
        <f t="shared" si="37"/>
        <v>10</v>
      </c>
      <c r="F262" s="142" t="s">
        <v>649</v>
      </c>
      <c r="G262" s="142" t="s">
        <v>651</v>
      </c>
      <c r="H262" s="142" t="s">
        <v>651</v>
      </c>
      <c r="I262" s="142" t="s">
        <v>210</v>
      </c>
      <c r="J262" s="142" t="s">
        <v>210</v>
      </c>
      <c r="K262" s="142" t="s">
        <v>210</v>
      </c>
      <c r="L262" s="142">
        <v>2</v>
      </c>
      <c r="M262" s="142" t="str">
        <f t="shared" ca="1" si="38"/>
        <v>Aucune case cochée</v>
      </c>
      <c r="N262" s="142" t="str">
        <f t="shared" ca="1" si="35"/>
        <v>Aucune case cochée</v>
      </c>
      <c r="O262" s="47">
        <v>1</v>
      </c>
      <c r="P262" s="142">
        <f t="shared" ref="P262:P289" si="40">IF(O262="Non concerné",O262,O262*L262)</f>
        <v>2</v>
      </c>
      <c r="Q262" s="142">
        <f t="shared" ca="1" si="39"/>
        <v>2</v>
      </c>
      <c r="R262" s="142">
        <f t="shared" si="36"/>
        <v>2</v>
      </c>
      <c r="S262" s="218">
        <f>SUM(P262:P270)</f>
        <v>12</v>
      </c>
      <c r="T262" s="218">
        <f>SUM(R262:R270)</f>
        <v>18</v>
      </c>
      <c r="U262" s="219">
        <f>+S262/T262</f>
        <v>0.66666666666666663</v>
      </c>
      <c r="V262" s="220">
        <v>1</v>
      </c>
      <c r="W262" s="222">
        <f>U262*V262</f>
        <v>0.66666666666666663</v>
      </c>
      <c r="X262" s="220">
        <v>0.02</v>
      </c>
      <c r="Y262" s="217"/>
      <c r="Z262" s="17"/>
    </row>
    <row r="263" spans="1:26" ht="32.1" customHeight="1" x14ac:dyDescent="0.2">
      <c r="A263" s="44" t="s">
        <v>729</v>
      </c>
      <c r="B263" s="44" t="s">
        <v>730</v>
      </c>
      <c r="C263" s="44" t="s">
        <v>729</v>
      </c>
      <c r="D263" s="44" t="s">
        <v>332</v>
      </c>
      <c r="E263" s="45">
        <f t="shared" si="37"/>
        <v>12</v>
      </c>
      <c r="F263" s="142" t="s">
        <v>656</v>
      </c>
      <c r="G263" s="142" t="s">
        <v>651</v>
      </c>
      <c r="H263" s="142" t="s">
        <v>651</v>
      </c>
      <c r="I263" s="142" t="s">
        <v>210</v>
      </c>
      <c r="J263" s="142" t="s">
        <v>210</v>
      </c>
      <c r="K263" s="142" t="s">
        <v>210</v>
      </c>
      <c r="L263" s="142">
        <v>1</v>
      </c>
      <c r="M263" s="142" t="str">
        <f t="shared" ca="1" si="38"/>
        <v>Aucune case cochée</v>
      </c>
      <c r="N263" s="142" t="str">
        <f t="shared" ca="1" si="35"/>
        <v>Aucune case cochée</v>
      </c>
      <c r="O263" s="47">
        <v>0</v>
      </c>
      <c r="P263" s="142">
        <f t="shared" si="40"/>
        <v>0</v>
      </c>
      <c r="Q263" s="142">
        <f t="shared" ca="1" si="39"/>
        <v>3</v>
      </c>
      <c r="R263" s="142">
        <f t="shared" si="36"/>
        <v>3</v>
      </c>
      <c r="S263" s="218"/>
      <c r="T263" s="218"/>
      <c r="U263" s="219"/>
      <c r="V263" s="220"/>
      <c r="W263" s="218"/>
      <c r="X263" s="220"/>
      <c r="Y263" s="217"/>
      <c r="Z263" s="17"/>
    </row>
    <row r="264" spans="1:26" ht="32.1" customHeight="1" x14ac:dyDescent="0.2">
      <c r="A264" s="44" t="s">
        <v>729</v>
      </c>
      <c r="B264" s="44" t="s">
        <v>730</v>
      </c>
      <c r="C264" s="44" t="s">
        <v>729</v>
      </c>
      <c r="D264" s="44" t="s">
        <v>333</v>
      </c>
      <c r="E264" s="45">
        <f t="shared" si="37"/>
        <v>14</v>
      </c>
      <c r="F264" s="142" t="s">
        <v>656</v>
      </c>
      <c r="G264" s="142" t="s">
        <v>651</v>
      </c>
      <c r="H264" s="142" t="s">
        <v>651</v>
      </c>
      <c r="I264" s="142" t="s">
        <v>210</v>
      </c>
      <c r="J264" s="142" t="s">
        <v>210</v>
      </c>
      <c r="K264" s="142" t="s">
        <v>210</v>
      </c>
      <c r="L264" s="142">
        <v>1</v>
      </c>
      <c r="M264" s="142" t="str">
        <f t="shared" ca="1" si="38"/>
        <v>Aucune case cochée</v>
      </c>
      <c r="N264" s="142" t="str">
        <f t="shared" ca="1" si="35"/>
        <v>Aucune case cochée</v>
      </c>
      <c r="O264" s="47">
        <v>0</v>
      </c>
      <c r="P264" s="142">
        <f t="shared" si="40"/>
        <v>0</v>
      </c>
      <c r="Q264" s="142">
        <f t="shared" ca="1" si="39"/>
        <v>3</v>
      </c>
      <c r="R264" s="142">
        <f t="shared" si="36"/>
        <v>3</v>
      </c>
      <c r="S264" s="218"/>
      <c r="T264" s="218"/>
      <c r="U264" s="219"/>
      <c r="V264" s="220"/>
      <c r="W264" s="218"/>
      <c r="X264" s="220"/>
      <c r="Y264" s="217"/>
      <c r="Z264" s="17"/>
    </row>
    <row r="265" spans="1:26" ht="32.1" customHeight="1" x14ac:dyDescent="0.2">
      <c r="A265" s="44" t="s">
        <v>729</v>
      </c>
      <c r="B265" s="44" t="s">
        <v>730</v>
      </c>
      <c r="C265" s="44" t="s">
        <v>729</v>
      </c>
      <c r="D265" s="44" t="s">
        <v>334</v>
      </c>
      <c r="E265" s="45">
        <f t="shared" si="37"/>
        <v>16</v>
      </c>
      <c r="F265" s="142" t="s">
        <v>649</v>
      </c>
      <c r="G265" s="142" t="s">
        <v>651</v>
      </c>
      <c r="H265" s="142" t="s">
        <v>651</v>
      </c>
      <c r="I265" s="142" t="s">
        <v>210</v>
      </c>
      <c r="J265" s="142" t="s">
        <v>210</v>
      </c>
      <c r="K265" s="142" t="s">
        <v>210</v>
      </c>
      <c r="L265" s="142">
        <v>2</v>
      </c>
      <c r="M265" s="142" t="str">
        <f t="shared" ca="1" si="38"/>
        <v>Aucune case cochée</v>
      </c>
      <c r="N265" s="142" t="str">
        <f t="shared" ca="1" si="35"/>
        <v>Aucune case cochée</v>
      </c>
      <c r="O265" s="47">
        <v>1</v>
      </c>
      <c r="P265" s="142">
        <f t="shared" si="40"/>
        <v>2</v>
      </c>
      <c r="Q265" s="142">
        <f t="shared" ca="1" si="39"/>
        <v>2</v>
      </c>
      <c r="R265" s="142">
        <f t="shared" si="36"/>
        <v>2</v>
      </c>
      <c r="S265" s="218"/>
      <c r="T265" s="218"/>
      <c r="U265" s="219"/>
      <c r="V265" s="220"/>
      <c r="W265" s="218"/>
      <c r="X265" s="220"/>
      <c r="Y265" s="217"/>
      <c r="Z265" s="17"/>
    </row>
    <row r="266" spans="1:26" ht="32.1" customHeight="1" x14ac:dyDescent="0.2">
      <c r="A266" s="44" t="s">
        <v>729</v>
      </c>
      <c r="B266" s="44" t="s">
        <v>730</v>
      </c>
      <c r="C266" s="44" t="s">
        <v>729</v>
      </c>
      <c r="D266" s="44" t="s">
        <v>337</v>
      </c>
      <c r="E266" s="45">
        <f t="shared" si="37"/>
        <v>18</v>
      </c>
      <c r="F266" s="142" t="s">
        <v>649</v>
      </c>
      <c r="G266" s="142" t="s">
        <v>651</v>
      </c>
      <c r="H266" s="142" t="s">
        <v>651</v>
      </c>
      <c r="I266" s="142" t="s">
        <v>210</v>
      </c>
      <c r="J266" s="142" t="s">
        <v>210</v>
      </c>
      <c r="K266" s="142" t="s">
        <v>210</v>
      </c>
      <c r="L266" s="142">
        <v>1</v>
      </c>
      <c r="M266" s="142" t="str">
        <f t="shared" ca="1" si="38"/>
        <v>Aucune case cochée</v>
      </c>
      <c r="N266" s="142" t="str">
        <f t="shared" ca="1" si="35"/>
        <v>Aucune case cochée</v>
      </c>
      <c r="O266" s="47">
        <v>1</v>
      </c>
      <c r="P266" s="142">
        <f t="shared" si="40"/>
        <v>1</v>
      </c>
      <c r="Q266" s="142">
        <f t="shared" ca="1" si="39"/>
        <v>1</v>
      </c>
      <c r="R266" s="142">
        <f t="shared" si="36"/>
        <v>1</v>
      </c>
      <c r="S266" s="218"/>
      <c r="T266" s="218"/>
      <c r="U266" s="219"/>
      <c r="V266" s="220"/>
      <c r="W266" s="218"/>
      <c r="X266" s="220"/>
      <c r="Y266" s="217"/>
      <c r="Z266" s="17"/>
    </row>
    <row r="267" spans="1:26" ht="32.1" customHeight="1" x14ac:dyDescent="0.2">
      <c r="A267" s="44" t="s">
        <v>729</v>
      </c>
      <c r="B267" s="44" t="s">
        <v>730</v>
      </c>
      <c r="C267" s="44" t="s">
        <v>729</v>
      </c>
      <c r="D267" s="44" t="s">
        <v>338</v>
      </c>
      <c r="E267" s="45">
        <f t="shared" si="37"/>
        <v>20</v>
      </c>
      <c r="F267" s="142" t="s">
        <v>649</v>
      </c>
      <c r="G267" s="142" t="s">
        <v>651</v>
      </c>
      <c r="H267" s="142" t="s">
        <v>651</v>
      </c>
      <c r="I267" s="142" t="s">
        <v>210</v>
      </c>
      <c r="J267" s="142" t="s">
        <v>210</v>
      </c>
      <c r="K267" s="142" t="s">
        <v>210</v>
      </c>
      <c r="L267" s="142">
        <v>1</v>
      </c>
      <c r="M267" s="142" t="str">
        <f t="shared" ca="1" si="38"/>
        <v>Aucune case cochée</v>
      </c>
      <c r="N267" s="142" t="str">
        <f t="shared" ca="1" si="35"/>
        <v>Aucune case cochée</v>
      </c>
      <c r="O267" s="47">
        <v>1</v>
      </c>
      <c r="P267" s="142">
        <f t="shared" si="40"/>
        <v>1</v>
      </c>
      <c r="Q267" s="142">
        <f t="shared" ca="1" si="39"/>
        <v>1</v>
      </c>
      <c r="R267" s="142">
        <f t="shared" si="36"/>
        <v>1</v>
      </c>
      <c r="S267" s="218"/>
      <c r="T267" s="218"/>
      <c r="U267" s="219"/>
      <c r="V267" s="220"/>
      <c r="W267" s="218"/>
      <c r="X267" s="220"/>
      <c r="Y267" s="217"/>
      <c r="Z267" s="17"/>
    </row>
    <row r="268" spans="1:26" ht="32.1" customHeight="1" x14ac:dyDescent="0.2">
      <c r="A268" s="44" t="s">
        <v>729</v>
      </c>
      <c r="B268" s="44" t="s">
        <v>730</v>
      </c>
      <c r="C268" s="44" t="s">
        <v>729</v>
      </c>
      <c r="D268" s="44" t="s">
        <v>340</v>
      </c>
      <c r="E268" s="45">
        <f t="shared" si="37"/>
        <v>22</v>
      </c>
      <c r="F268" s="142" t="s">
        <v>649</v>
      </c>
      <c r="G268" s="142" t="s">
        <v>651</v>
      </c>
      <c r="H268" s="142" t="s">
        <v>651</v>
      </c>
      <c r="I268" s="142" t="s">
        <v>210</v>
      </c>
      <c r="J268" s="142" t="s">
        <v>210</v>
      </c>
      <c r="K268" s="142" t="s">
        <v>210</v>
      </c>
      <c r="L268" s="142">
        <v>2</v>
      </c>
      <c r="M268" s="142" t="str">
        <f t="shared" ca="1" si="38"/>
        <v>Aucune case cochée</v>
      </c>
      <c r="N268" s="142" t="str">
        <f t="shared" ca="1" si="35"/>
        <v>Aucune case cochée</v>
      </c>
      <c r="O268" s="47">
        <v>1</v>
      </c>
      <c r="P268" s="142">
        <f t="shared" si="40"/>
        <v>2</v>
      </c>
      <c r="Q268" s="142">
        <f t="shared" ca="1" si="39"/>
        <v>2</v>
      </c>
      <c r="R268" s="142">
        <f t="shared" si="36"/>
        <v>2</v>
      </c>
      <c r="S268" s="218"/>
      <c r="T268" s="218"/>
      <c r="U268" s="219"/>
      <c r="V268" s="220"/>
      <c r="W268" s="218"/>
      <c r="X268" s="220"/>
      <c r="Y268" s="217"/>
      <c r="Z268" s="17"/>
    </row>
    <row r="269" spans="1:26" ht="32.1" customHeight="1" x14ac:dyDescent="0.2">
      <c r="A269" s="44" t="s">
        <v>729</v>
      </c>
      <c r="B269" s="44" t="s">
        <v>730</v>
      </c>
      <c r="C269" s="44" t="s">
        <v>729</v>
      </c>
      <c r="D269" s="44" t="s">
        <v>721</v>
      </c>
      <c r="E269" s="45">
        <f t="shared" si="37"/>
        <v>24</v>
      </c>
      <c r="F269" s="142" t="s">
        <v>649</v>
      </c>
      <c r="G269" s="142" t="s">
        <v>651</v>
      </c>
      <c r="H269" s="142" t="s">
        <v>651</v>
      </c>
      <c r="I269" s="142" t="s">
        <v>210</v>
      </c>
      <c r="J269" s="142" t="s">
        <v>210</v>
      </c>
      <c r="K269" s="142" t="s">
        <v>210</v>
      </c>
      <c r="L269" s="142">
        <v>2</v>
      </c>
      <c r="M269" s="142" t="str">
        <f t="shared" ca="1" si="38"/>
        <v>Aucune case cochée</v>
      </c>
      <c r="N269" s="142" t="str">
        <f t="shared" ca="1" si="35"/>
        <v>Aucune case cochée</v>
      </c>
      <c r="O269" s="47">
        <v>1</v>
      </c>
      <c r="P269" s="142">
        <f t="shared" si="40"/>
        <v>2</v>
      </c>
      <c r="Q269" s="142">
        <f t="shared" ca="1" si="39"/>
        <v>2</v>
      </c>
      <c r="R269" s="142">
        <f t="shared" si="36"/>
        <v>2</v>
      </c>
      <c r="S269" s="218"/>
      <c r="T269" s="218"/>
      <c r="U269" s="219"/>
      <c r="V269" s="220"/>
      <c r="W269" s="218"/>
      <c r="X269" s="220"/>
      <c r="Y269" s="217"/>
      <c r="Z269" s="17"/>
    </row>
    <row r="270" spans="1:26" ht="32.1" customHeight="1" x14ac:dyDescent="0.2">
      <c r="A270" s="44" t="s">
        <v>729</v>
      </c>
      <c r="B270" s="44" t="s">
        <v>730</v>
      </c>
      <c r="C270" s="44" t="s">
        <v>729</v>
      </c>
      <c r="D270" s="44" t="s">
        <v>342</v>
      </c>
      <c r="E270" s="45">
        <f t="shared" si="37"/>
        <v>26</v>
      </c>
      <c r="F270" s="142" t="s">
        <v>649</v>
      </c>
      <c r="G270" s="142" t="s">
        <v>651</v>
      </c>
      <c r="H270" s="142" t="s">
        <v>651</v>
      </c>
      <c r="I270" s="142" t="s">
        <v>210</v>
      </c>
      <c r="J270" s="142" t="s">
        <v>210</v>
      </c>
      <c r="K270" s="142" t="s">
        <v>210</v>
      </c>
      <c r="L270" s="142">
        <v>2</v>
      </c>
      <c r="M270" s="142" t="str">
        <f t="shared" ca="1" si="38"/>
        <v>Aucune case cochée</v>
      </c>
      <c r="N270" s="142" t="str">
        <f t="shared" ca="1" si="35"/>
        <v>Aucune case cochée</v>
      </c>
      <c r="O270" s="47">
        <v>1</v>
      </c>
      <c r="P270" s="142">
        <f t="shared" si="40"/>
        <v>2</v>
      </c>
      <c r="Q270" s="142">
        <f t="shared" ca="1" si="39"/>
        <v>2</v>
      </c>
      <c r="R270" s="142">
        <f t="shared" si="36"/>
        <v>2</v>
      </c>
      <c r="S270" s="218"/>
      <c r="T270" s="218"/>
      <c r="U270" s="219"/>
      <c r="V270" s="220"/>
      <c r="W270" s="218"/>
      <c r="X270" s="220"/>
      <c r="Y270" s="217"/>
      <c r="Z270" s="17"/>
    </row>
    <row r="271" spans="1:26" s="50" customFormat="1" ht="32.1" customHeight="1" x14ac:dyDescent="0.2">
      <c r="A271" s="48" t="s">
        <v>731</v>
      </c>
      <c r="B271" s="48" t="s">
        <v>732</v>
      </c>
      <c r="C271" s="48" t="s">
        <v>733</v>
      </c>
      <c r="D271" s="48" t="s">
        <v>368</v>
      </c>
      <c r="E271" s="45">
        <f t="shared" si="37"/>
        <v>10</v>
      </c>
      <c r="F271" s="143" t="s">
        <v>649</v>
      </c>
      <c r="G271" s="143" t="s">
        <v>651</v>
      </c>
      <c r="H271" s="143" t="s">
        <v>651</v>
      </c>
      <c r="I271" s="143" t="s">
        <v>210</v>
      </c>
      <c r="J271" s="143" t="s">
        <v>210</v>
      </c>
      <c r="K271" s="143" t="s">
        <v>210</v>
      </c>
      <c r="L271" s="143">
        <v>2</v>
      </c>
      <c r="M271" s="142" t="str">
        <f t="shared" ca="1" si="38"/>
        <v>Aucune case cochée</v>
      </c>
      <c r="N271" s="142" t="str">
        <f t="shared" ca="1" si="35"/>
        <v>Aucune case cochée</v>
      </c>
      <c r="O271" s="47">
        <v>1</v>
      </c>
      <c r="P271" s="142">
        <f t="shared" si="40"/>
        <v>2</v>
      </c>
      <c r="Q271" s="142">
        <f t="shared" ca="1" si="39"/>
        <v>2</v>
      </c>
      <c r="R271" s="142">
        <f t="shared" si="36"/>
        <v>2</v>
      </c>
      <c r="S271" s="227">
        <f>SUM(P271:P273)</f>
        <v>2</v>
      </c>
      <c r="T271" s="227">
        <f>SUM(R271:R273)</f>
        <v>8</v>
      </c>
      <c r="U271" s="228">
        <f>+S271/T271</f>
        <v>0.25</v>
      </c>
      <c r="V271" s="229">
        <v>0.4</v>
      </c>
      <c r="W271" s="230">
        <f>U271*V271+U274*V274+U277*V277+U280*V280+U283*V283</f>
        <v>0.25</v>
      </c>
      <c r="X271" s="229">
        <v>0.01</v>
      </c>
      <c r="Y271" s="217"/>
      <c r="Z271" s="49"/>
    </row>
    <row r="272" spans="1:26" s="50" customFormat="1" ht="32.1" customHeight="1" x14ac:dyDescent="0.2">
      <c r="A272" s="48" t="s">
        <v>731</v>
      </c>
      <c r="B272" s="48" t="s">
        <v>732</v>
      </c>
      <c r="C272" s="48" t="s">
        <v>733</v>
      </c>
      <c r="D272" s="48" t="s">
        <v>114</v>
      </c>
      <c r="E272" s="45">
        <f t="shared" si="37"/>
        <v>12</v>
      </c>
      <c r="F272" s="143" t="s">
        <v>656</v>
      </c>
      <c r="G272" s="143" t="s">
        <v>651</v>
      </c>
      <c r="H272" s="143" t="s">
        <v>651</v>
      </c>
      <c r="I272" s="143" t="s">
        <v>210</v>
      </c>
      <c r="J272" s="143" t="s">
        <v>210</v>
      </c>
      <c r="K272" s="143" t="s">
        <v>210</v>
      </c>
      <c r="L272" s="143">
        <v>1</v>
      </c>
      <c r="M272" s="142" t="str">
        <f t="shared" ca="1" si="38"/>
        <v>Aucune case cochée</v>
      </c>
      <c r="N272" s="142" t="str">
        <f t="shared" ca="1" si="35"/>
        <v>Aucune case cochée</v>
      </c>
      <c r="O272" s="47">
        <v>0</v>
      </c>
      <c r="P272" s="142">
        <f t="shared" si="40"/>
        <v>0</v>
      </c>
      <c r="Q272" s="142">
        <f t="shared" ca="1" si="39"/>
        <v>3</v>
      </c>
      <c r="R272" s="142">
        <f t="shared" si="36"/>
        <v>3</v>
      </c>
      <c r="S272" s="227"/>
      <c r="T272" s="227"/>
      <c r="U272" s="228"/>
      <c r="V272" s="229"/>
      <c r="W272" s="227"/>
      <c r="X272" s="229"/>
      <c r="Y272" s="217"/>
      <c r="Z272" s="49"/>
    </row>
    <row r="273" spans="1:26" s="50" customFormat="1" ht="32.1" customHeight="1" x14ac:dyDescent="0.2">
      <c r="A273" s="48" t="s">
        <v>731</v>
      </c>
      <c r="B273" s="48" t="s">
        <v>732</v>
      </c>
      <c r="C273" s="48" t="s">
        <v>733</v>
      </c>
      <c r="D273" s="48" t="s">
        <v>115</v>
      </c>
      <c r="E273" s="45">
        <f t="shared" si="37"/>
        <v>14</v>
      </c>
      <c r="F273" s="143" t="s">
        <v>656</v>
      </c>
      <c r="G273" s="143" t="s">
        <v>651</v>
      </c>
      <c r="H273" s="143" t="s">
        <v>651</v>
      </c>
      <c r="I273" s="143" t="s">
        <v>210</v>
      </c>
      <c r="J273" s="143" t="s">
        <v>210</v>
      </c>
      <c r="K273" s="143" t="s">
        <v>210</v>
      </c>
      <c r="L273" s="143">
        <v>1</v>
      </c>
      <c r="M273" s="142" t="str">
        <f t="shared" ca="1" si="38"/>
        <v>Aucune case cochée</v>
      </c>
      <c r="N273" s="142" t="str">
        <f t="shared" ca="1" si="35"/>
        <v>Aucune case cochée</v>
      </c>
      <c r="O273" s="47">
        <v>0</v>
      </c>
      <c r="P273" s="142">
        <f t="shared" si="40"/>
        <v>0</v>
      </c>
      <c r="Q273" s="142">
        <f t="shared" ca="1" si="39"/>
        <v>3</v>
      </c>
      <c r="R273" s="142">
        <f t="shared" si="36"/>
        <v>3</v>
      </c>
      <c r="S273" s="227"/>
      <c r="T273" s="227"/>
      <c r="U273" s="228"/>
      <c r="V273" s="229"/>
      <c r="W273" s="227"/>
      <c r="X273" s="229"/>
      <c r="Y273" s="217"/>
      <c r="Z273" s="49"/>
    </row>
    <row r="274" spans="1:26" s="50" customFormat="1" ht="32.1" customHeight="1" x14ac:dyDescent="0.2">
      <c r="A274" s="48" t="s">
        <v>731</v>
      </c>
      <c r="B274" s="48" t="s">
        <v>732</v>
      </c>
      <c r="C274" s="48" t="s">
        <v>734</v>
      </c>
      <c r="D274" s="48" t="s">
        <v>372</v>
      </c>
      <c r="E274" s="45">
        <f t="shared" si="37"/>
        <v>17</v>
      </c>
      <c r="F274" s="143" t="s">
        <v>649</v>
      </c>
      <c r="G274" s="143" t="s">
        <v>651</v>
      </c>
      <c r="H274" s="143" t="s">
        <v>651</v>
      </c>
      <c r="I274" s="143" t="s">
        <v>210</v>
      </c>
      <c r="J274" s="143" t="s">
        <v>210</v>
      </c>
      <c r="K274" s="143" t="s">
        <v>210</v>
      </c>
      <c r="L274" s="143">
        <v>2</v>
      </c>
      <c r="M274" s="142" t="str">
        <f t="shared" ca="1" si="38"/>
        <v>Aucune case cochée</v>
      </c>
      <c r="N274" s="142" t="str">
        <f t="shared" ca="1" si="35"/>
        <v>Aucune case cochée</v>
      </c>
      <c r="O274" s="47">
        <v>1</v>
      </c>
      <c r="P274" s="142">
        <f t="shared" si="40"/>
        <v>2</v>
      </c>
      <c r="Q274" s="142">
        <f t="shared" ca="1" si="39"/>
        <v>2</v>
      </c>
      <c r="R274" s="142">
        <f t="shared" si="36"/>
        <v>2</v>
      </c>
      <c r="S274" s="227">
        <f>SUM(P274:P276)</f>
        <v>2</v>
      </c>
      <c r="T274" s="227">
        <f>SUM(R274:R276)</f>
        <v>8</v>
      </c>
      <c r="U274" s="228">
        <f>+S274/T274</f>
        <v>0.25</v>
      </c>
      <c r="V274" s="229">
        <v>0.1</v>
      </c>
      <c r="W274" s="227"/>
      <c r="X274" s="229"/>
      <c r="Y274" s="217"/>
      <c r="Z274" s="49"/>
    </row>
    <row r="275" spans="1:26" s="50" customFormat="1" ht="32.1" customHeight="1" x14ac:dyDescent="0.2">
      <c r="A275" s="48" t="s">
        <v>731</v>
      </c>
      <c r="B275" s="48" t="s">
        <v>732</v>
      </c>
      <c r="C275" s="48" t="s">
        <v>734</v>
      </c>
      <c r="D275" s="48" t="s">
        <v>373</v>
      </c>
      <c r="E275" s="45">
        <f t="shared" si="37"/>
        <v>19</v>
      </c>
      <c r="F275" s="143" t="s">
        <v>656</v>
      </c>
      <c r="G275" s="143" t="s">
        <v>651</v>
      </c>
      <c r="H275" s="143" t="s">
        <v>651</v>
      </c>
      <c r="I275" s="143" t="s">
        <v>210</v>
      </c>
      <c r="J275" s="143" t="s">
        <v>210</v>
      </c>
      <c r="K275" s="143" t="s">
        <v>210</v>
      </c>
      <c r="L275" s="143">
        <v>1</v>
      </c>
      <c r="M275" s="142" t="str">
        <f t="shared" ca="1" si="38"/>
        <v>Aucune case cochée</v>
      </c>
      <c r="N275" s="142" t="str">
        <f t="shared" ca="1" si="35"/>
        <v>Aucune case cochée</v>
      </c>
      <c r="O275" s="47">
        <v>0</v>
      </c>
      <c r="P275" s="142">
        <f t="shared" si="40"/>
        <v>0</v>
      </c>
      <c r="Q275" s="142">
        <f t="shared" ca="1" si="39"/>
        <v>3</v>
      </c>
      <c r="R275" s="142">
        <f t="shared" si="36"/>
        <v>3</v>
      </c>
      <c r="S275" s="227"/>
      <c r="T275" s="227"/>
      <c r="U275" s="228"/>
      <c r="V275" s="229"/>
      <c r="W275" s="227"/>
      <c r="X275" s="229"/>
      <c r="Y275" s="217"/>
      <c r="Z275" s="49"/>
    </row>
    <row r="276" spans="1:26" s="50" customFormat="1" ht="32.1" customHeight="1" x14ac:dyDescent="0.2">
      <c r="A276" s="48" t="s">
        <v>731</v>
      </c>
      <c r="B276" s="48" t="s">
        <v>732</v>
      </c>
      <c r="C276" s="48" t="s">
        <v>734</v>
      </c>
      <c r="D276" s="48" t="s">
        <v>374</v>
      </c>
      <c r="E276" s="45">
        <f t="shared" si="37"/>
        <v>21</v>
      </c>
      <c r="F276" s="143" t="s">
        <v>656</v>
      </c>
      <c r="G276" s="143" t="s">
        <v>651</v>
      </c>
      <c r="H276" s="143" t="s">
        <v>651</v>
      </c>
      <c r="I276" s="143" t="s">
        <v>210</v>
      </c>
      <c r="J276" s="143" t="s">
        <v>210</v>
      </c>
      <c r="K276" s="143" t="s">
        <v>210</v>
      </c>
      <c r="L276" s="143">
        <v>1</v>
      </c>
      <c r="M276" s="142" t="str">
        <f t="shared" ca="1" si="38"/>
        <v>Aucune case cochée</v>
      </c>
      <c r="N276" s="142" t="str">
        <f t="shared" ca="1" si="35"/>
        <v>Aucune case cochée</v>
      </c>
      <c r="O276" s="47">
        <v>0</v>
      </c>
      <c r="P276" s="142">
        <f t="shared" si="40"/>
        <v>0</v>
      </c>
      <c r="Q276" s="142">
        <f t="shared" ca="1" si="39"/>
        <v>3</v>
      </c>
      <c r="R276" s="142">
        <f t="shared" si="36"/>
        <v>3</v>
      </c>
      <c r="S276" s="227"/>
      <c r="T276" s="227"/>
      <c r="U276" s="228"/>
      <c r="V276" s="229"/>
      <c r="W276" s="227"/>
      <c r="X276" s="229"/>
      <c r="Y276" s="217"/>
      <c r="Z276" s="49"/>
    </row>
    <row r="277" spans="1:26" s="50" customFormat="1" ht="32.1" customHeight="1" x14ac:dyDescent="0.2">
      <c r="A277" s="48" t="s">
        <v>731</v>
      </c>
      <c r="B277" s="48" t="s">
        <v>732</v>
      </c>
      <c r="C277" s="48" t="s">
        <v>735</v>
      </c>
      <c r="D277" s="48" t="s">
        <v>372</v>
      </c>
      <c r="E277" s="45">
        <f t="shared" si="37"/>
        <v>24</v>
      </c>
      <c r="F277" s="143" t="s">
        <v>649</v>
      </c>
      <c r="G277" s="143" t="s">
        <v>651</v>
      </c>
      <c r="H277" s="143" t="s">
        <v>651</v>
      </c>
      <c r="I277" s="143" t="s">
        <v>210</v>
      </c>
      <c r="J277" s="143" t="s">
        <v>210</v>
      </c>
      <c r="K277" s="143" t="s">
        <v>210</v>
      </c>
      <c r="L277" s="143">
        <v>2</v>
      </c>
      <c r="M277" s="142" t="str">
        <f t="shared" ca="1" si="38"/>
        <v>Aucune case cochée</v>
      </c>
      <c r="N277" s="142" t="str">
        <f t="shared" ca="1" si="35"/>
        <v>Aucune case cochée</v>
      </c>
      <c r="O277" s="47">
        <v>1</v>
      </c>
      <c r="P277" s="142">
        <f t="shared" si="40"/>
        <v>2</v>
      </c>
      <c r="Q277" s="142">
        <f t="shared" ca="1" si="39"/>
        <v>2</v>
      </c>
      <c r="R277" s="142">
        <f t="shared" si="36"/>
        <v>2</v>
      </c>
      <c r="S277" s="227">
        <f>SUM(P277:P279)</f>
        <v>2</v>
      </c>
      <c r="T277" s="227">
        <f>SUM(R277:R279)</f>
        <v>8</v>
      </c>
      <c r="U277" s="228">
        <f>+S277/T277</f>
        <v>0.25</v>
      </c>
      <c r="V277" s="229">
        <v>0.1</v>
      </c>
      <c r="W277" s="227"/>
      <c r="X277" s="229"/>
      <c r="Y277" s="217"/>
      <c r="Z277" s="49"/>
    </row>
    <row r="278" spans="1:26" s="50" customFormat="1" ht="32.1" customHeight="1" x14ac:dyDescent="0.2">
      <c r="A278" s="48" t="s">
        <v>731</v>
      </c>
      <c r="B278" s="48" t="s">
        <v>732</v>
      </c>
      <c r="C278" s="48" t="s">
        <v>735</v>
      </c>
      <c r="D278" s="48" t="s">
        <v>373</v>
      </c>
      <c r="E278" s="45">
        <f t="shared" si="37"/>
        <v>26</v>
      </c>
      <c r="F278" s="143" t="s">
        <v>656</v>
      </c>
      <c r="G278" s="143" t="s">
        <v>651</v>
      </c>
      <c r="H278" s="143" t="s">
        <v>651</v>
      </c>
      <c r="I278" s="143" t="s">
        <v>210</v>
      </c>
      <c r="J278" s="143" t="s">
        <v>210</v>
      </c>
      <c r="K278" s="143" t="s">
        <v>210</v>
      </c>
      <c r="L278" s="143">
        <v>1</v>
      </c>
      <c r="M278" s="142" t="str">
        <f t="shared" ca="1" si="38"/>
        <v>Aucune case cochée</v>
      </c>
      <c r="N278" s="142" t="str">
        <f t="shared" ca="1" si="35"/>
        <v>Aucune case cochée</v>
      </c>
      <c r="O278" s="47">
        <v>0</v>
      </c>
      <c r="P278" s="142">
        <f t="shared" si="40"/>
        <v>0</v>
      </c>
      <c r="Q278" s="142">
        <f t="shared" ca="1" si="39"/>
        <v>3</v>
      </c>
      <c r="R278" s="142">
        <f t="shared" si="36"/>
        <v>3</v>
      </c>
      <c r="S278" s="227"/>
      <c r="T278" s="227"/>
      <c r="U278" s="228"/>
      <c r="V278" s="229"/>
      <c r="W278" s="227"/>
      <c r="X278" s="229"/>
      <c r="Y278" s="217"/>
      <c r="Z278" s="49"/>
    </row>
    <row r="279" spans="1:26" s="50" customFormat="1" ht="32.1" customHeight="1" x14ac:dyDescent="0.2">
      <c r="A279" s="48" t="s">
        <v>731</v>
      </c>
      <c r="B279" s="48" t="s">
        <v>732</v>
      </c>
      <c r="C279" s="48" t="s">
        <v>735</v>
      </c>
      <c r="D279" s="48" t="s">
        <v>374</v>
      </c>
      <c r="E279" s="45">
        <f t="shared" si="37"/>
        <v>28</v>
      </c>
      <c r="F279" s="143" t="s">
        <v>656</v>
      </c>
      <c r="G279" s="143" t="s">
        <v>651</v>
      </c>
      <c r="H279" s="143" t="s">
        <v>651</v>
      </c>
      <c r="I279" s="143" t="s">
        <v>210</v>
      </c>
      <c r="J279" s="143" t="s">
        <v>210</v>
      </c>
      <c r="K279" s="143" t="s">
        <v>210</v>
      </c>
      <c r="L279" s="143">
        <v>1</v>
      </c>
      <c r="M279" s="142" t="str">
        <f t="shared" ca="1" si="38"/>
        <v>Aucune case cochée</v>
      </c>
      <c r="N279" s="142" t="str">
        <f t="shared" ca="1" si="35"/>
        <v>Aucune case cochée</v>
      </c>
      <c r="O279" s="47">
        <v>0</v>
      </c>
      <c r="P279" s="142">
        <f t="shared" si="40"/>
        <v>0</v>
      </c>
      <c r="Q279" s="142">
        <f t="shared" ca="1" si="39"/>
        <v>3</v>
      </c>
      <c r="R279" s="142">
        <f t="shared" si="36"/>
        <v>3</v>
      </c>
      <c r="S279" s="227"/>
      <c r="T279" s="227"/>
      <c r="U279" s="228"/>
      <c r="V279" s="229"/>
      <c r="W279" s="227"/>
      <c r="X279" s="229"/>
      <c r="Y279" s="217"/>
      <c r="Z279" s="49"/>
    </row>
    <row r="280" spans="1:26" s="50" customFormat="1" ht="32.1" customHeight="1" x14ac:dyDescent="0.2">
      <c r="A280" s="48" t="s">
        <v>731</v>
      </c>
      <c r="B280" s="48" t="s">
        <v>732</v>
      </c>
      <c r="C280" s="48" t="s">
        <v>736</v>
      </c>
      <c r="D280" s="48" t="s">
        <v>372</v>
      </c>
      <c r="E280" s="45">
        <f t="shared" si="37"/>
        <v>31</v>
      </c>
      <c r="F280" s="143" t="s">
        <v>649</v>
      </c>
      <c r="G280" s="143" t="s">
        <v>651</v>
      </c>
      <c r="H280" s="143" t="s">
        <v>651</v>
      </c>
      <c r="I280" s="143" t="s">
        <v>210</v>
      </c>
      <c r="J280" s="143" t="s">
        <v>210</v>
      </c>
      <c r="K280" s="143" t="s">
        <v>210</v>
      </c>
      <c r="L280" s="143">
        <v>2</v>
      </c>
      <c r="M280" s="142" t="str">
        <f t="shared" ca="1" si="38"/>
        <v>Aucune case cochée</v>
      </c>
      <c r="N280" s="142" t="str">
        <f t="shared" ca="1" si="35"/>
        <v>Aucune case cochée</v>
      </c>
      <c r="O280" s="47">
        <v>1</v>
      </c>
      <c r="P280" s="142">
        <f t="shared" si="40"/>
        <v>2</v>
      </c>
      <c r="Q280" s="142">
        <f t="shared" ca="1" si="39"/>
        <v>2</v>
      </c>
      <c r="R280" s="142">
        <f t="shared" si="36"/>
        <v>2</v>
      </c>
      <c r="S280" s="227">
        <f>SUM(P280:P282)</f>
        <v>2</v>
      </c>
      <c r="T280" s="227">
        <f>SUM(R280:R282)</f>
        <v>8</v>
      </c>
      <c r="U280" s="228">
        <f>+S280/T280</f>
        <v>0.25</v>
      </c>
      <c r="V280" s="229">
        <v>0.2</v>
      </c>
      <c r="W280" s="227"/>
      <c r="X280" s="229"/>
      <c r="Y280" s="217"/>
      <c r="Z280" s="49"/>
    </row>
    <row r="281" spans="1:26" s="50" customFormat="1" ht="32.1" customHeight="1" x14ac:dyDescent="0.2">
      <c r="A281" s="48" t="s">
        <v>731</v>
      </c>
      <c r="B281" s="48" t="s">
        <v>732</v>
      </c>
      <c r="C281" s="48" t="s">
        <v>736</v>
      </c>
      <c r="D281" s="48" t="s">
        <v>373</v>
      </c>
      <c r="E281" s="45">
        <f t="shared" si="37"/>
        <v>33</v>
      </c>
      <c r="F281" s="143" t="s">
        <v>656</v>
      </c>
      <c r="G281" s="143" t="s">
        <v>651</v>
      </c>
      <c r="H281" s="143" t="s">
        <v>651</v>
      </c>
      <c r="I281" s="143" t="s">
        <v>210</v>
      </c>
      <c r="J281" s="143" t="s">
        <v>210</v>
      </c>
      <c r="K281" s="143" t="s">
        <v>210</v>
      </c>
      <c r="L281" s="143">
        <v>1</v>
      </c>
      <c r="M281" s="142" t="str">
        <f t="shared" ca="1" si="38"/>
        <v>Aucune case cochée</v>
      </c>
      <c r="N281" s="142" t="str">
        <f t="shared" ca="1" si="35"/>
        <v>Aucune case cochée</v>
      </c>
      <c r="O281" s="47">
        <v>0</v>
      </c>
      <c r="P281" s="142">
        <f t="shared" si="40"/>
        <v>0</v>
      </c>
      <c r="Q281" s="142">
        <f t="shared" ca="1" si="39"/>
        <v>3</v>
      </c>
      <c r="R281" s="142">
        <f t="shared" si="36"/>
        <v>3</v>
      </c>
      <c r="S281" s="227"/>
      <c r="T281" s="227"/>
      <c r="U281" s="228"/>
      <c r="V281" s="229"/>
      <c r="W281" s="227"/>
      <c r="X281" s="229"/>
      <c r="Y281" s="217"/>
      <c r="Z281" s="49"/>
    </row>
    <row r="282" spans="1:26" s="50" customFormat="1" ht="32.1" customHeight="1" x14ac:dyDescent="0.2">
      <c r="A282" s="48" t="s">
        <v>731</v>
      </c>
      <c r="B282" s="48" t="s">
        <v>732</v>
      </c>
      <c r="C282" s="48" t="s">
        <v>736</v>
      </c>
      <c r="D282" s="48" t="s">
        <v>374</v>
      </c>
      <c r="E282" s="45">
        <f t="shared" si="37"/>
        <v>35</v>
      </c>
      <c r="F282" s="143" t="s">
        <v>656</v>
      </c>
      <c r="G282" s="143" t="s">
        <v>651</v>
      </c>
      <c r="H282" s="143" t="s">
        <v>651</v>
      </c>
      <c r="I282" s="143" t="s">
        <v>210</v>
      </c>
      <c r="J282" s="143" t="s">
        <v>210</v>
      </c>
      <c r="K282" s="143" t="s">
        <v>210</v>
      </c>
      <c r="L282" s="143">
        <v>1</v>
      </c>
      <c r="M282" s="142" t="str">
        <f t="shared" ca="1" si="38"/>
        <v>Aucune case cochée</v>
      </c>
      <c r="N282" s="142" t="str">
        <f t="shared" ca="1" si="35"/>
        <v>Aucune case cochée</v>
      </c>
      <c r="O282" s="47">
        <v>0</v>
      </c>
      <c r="P282" s="142">
        <f t="shared" si="40"/>
        <v>0</v>
      </c>
      <c r="Q282" s="142">
        <f t="shared" ca="1" si="39"/>
        <v>3</v>
      </c>
      <c r="R282" s="142">
        <f t="shared" si="36"/>
        <v>3</v>
      </c>
      <c r="S282" s="227"/>
      <c r="T282" s="227"/>
      <c r="U282" s="228"/>
      <c r="V282" s="229"/>
      <c r="W282" s="227"/>
      <c r="X282" s="229"/>
      <c r="Y282" s="217"/>
      <c r="Z282" s="49"/>
    </row>
    <row r="283" spans="1:26" s="50" customFormat="1" ht="32.1" customHeight="1" x14ac:dyDescent="0.2">
      <c r="A283" s="48" t="s">
        <v>731</v>
      </c>
      <c r="B283" s="48" t="s">
        <v>732</v>
      </c>
      <c r="C283" s="48" t="s">
        <v>737</v>
      </c>
      <c r="D283" s="48" t="s">
        <v>372</v>
      </c>
      <c r="E283" s="45">
        <f t="shared" si="37"/>
        <v>38</v>
      </c>
      <c r="F283" s="143" t="s">
        <v>649</v>
      </c>
      <c r="G283" s="143" t="s">
        <v>651</v>
      </c>
      <c r="H283" s="143" t="s">
        <v>651</v>
      </c>
      <c r="I283" s="143" t="s">
        <v>210</v>
      </c>
      <c r="J283" s="143" t="s">
        <v>210</v>
      </c>
      <c r="K283" s="143" t="s">
        <v>210</v>
      </c>
      <c r="L283" s="143">
        <v>2</v>
      </c>
      <c r="M283" s="142" t="str">
        <f t="shared" ca="1" si="38"/>
        <v>Aucune case cochée</v>
      </c>
      <c r="N283" s="142" t="str">
        <f t="shared" ca="1" si="35"/>
        <v>Aucune case cochée</v>
      </c>
      <c r="O283" s="47">
        <v>1</v>
      </c>
      <c r="P283" s="142">
        <f t="shared" si="40"/>
        <v>2</v>
      </c>
      <c r="Q283" s="142">
        <f t="shared" ca="1" si="39"/>
        <v>2</v>
      </c>
      <c r="R283" s="142">
        <f t="shared" si="36"/>
        <v>2</v>
      </c>
      <c r="S283" s="227">
        <f>SUM(P283:P285)</f>
        <v>2</v>
      </c>
      <c r="T283" s="227">
        <f>SUM(R283:R285)</f>
        <v>8</v>
      </c>
      <c r="U283" s="228">
        <f>+S283/T283</f>
        <v>0.25</v>
      </c>
      <c r="V283" s="229">
        <v>0.2</v>
      </c>
      <c r="W283" s="227"/>
      <c r="X283" s="229"/>
      <c r="Y283" s="217"/>
      <c r="Z283" s="49"/>
    </row>
    <row r="284" spans="1:26" s="50" customFormat="1" ht="32.1" customHeight="1" x14ac:dyDescent="0.2">
      <c r="A284" s="48" t="s">
        <v>731</v>
      </c>
      <c r="B284" s="48" t="s">
        <v>732</v>
      </c>
      <c r="C284" s="48" t="s">
        <v>737</v>
      </c>
      <c r="D284" s="48" t="s">
        <v>373</v>
      </c>
      <c r="E284" s="45">
        <f t="shared" si="37"/>
        <v>40</v>
      </c>
      <c r="F284" s="143" t="s">
        <v>656</v>
      </c>
      <c r="G284" s="143" t="s">
        <v>651</v>
      </c>
      <c r="H284" s="143" t="s">
        <v>651</v>
      </c>
      <c r="I284" s="143" t="s">
        <v>210</v>
      </c>
      <c r="J284" s="143" t="s">
        <v>210</v>
      </c>
      <c r="K284" s="143" t="s">
        <v>210</v>
      </c>
      <c r="L284" s="143">
        <v>1</v>
      </c>
      <c r="M284" s="142" t="str">
        <f t="shared" ca="1" si="38"/>
        <v>Aucune case cochée</v>
      </c>
      <c r="N284" s="142" t="str">
        <f t="shared" ca="1" si="35"/>
        <v>Aucune case cochée</v>
      </c>
      <c r="O284" s="47">
        <v>0</v>
      </c>
      <c r="P284" s="142">
        <f t="shared" si="40"/>
        <v>0</v>
      </c>
      <c r="Q284" s="142">
        <f t="shared" ca="1" si="39"/>
        <v>3</v>
      </c>
      <c r="R284" s="142">
        <f t="shared" si="36"/>
        <v>3</v>
      </c>
      <c r="S284" s="227"/>
      <c r="T284" s="227"/>
      <c r="U284" s="228"/>
      <c r="V284" s="229"/>
      <c r="W284" s="227"/>
      <c r="X284" s="229"/>
      <c r="Y284" s="217"/>
      <c r="Z284" s="49"/>
    </row>
    <row r="285" spans="1:26" s="50" customFormat="1" ht="32.1" customHeight="1" x14ac:dyDescent="0.2">
      <c r="A285" s="48" t="s">
        <v>731</v>
      </c>
      <c r="B285" s="48" t="s">
        <v>732</v>
      </c>
      <c r="C285" s="48" t="s">
        <v>737</v>
      </c>
      <c r="D285" s="48" t="s">
        <v>374</v>
      </c>
      <c r="E285" s="45">
        <f t="shared" si="37"/>
        <v>42</v>
      </c>
      <c r="F285" s="143" t="s">
        <v>656</v>
      </c>
      <c r="G285" s="143" t="s">
        <v>651</v>
      </c>
      <c r="H285" s="143" t="s">
        <v>651</v>
      </c>
      <c r="I285" s="143" t="s">
        <v>210</v>
      </c>
      <c r="J285" s="143" t="s">
        <v>210</v>
      </c>
      <c r="K285" s="143" t="s">
        <v>210</v>
      </c>
      <c r="L285" s="143">
        <v>1</v>
      </c>
      <c r="M285" s="142" t="str">
        <f t="shared" ca="1" si="38"/>
        <v>Aucune case cochée</v>
      </c>
      <c r="N285" s="142" t="str">
        <f t="shared" ca="1" si="35"/>
        <v>Aucune case cochée</v>
      </c>
      <c r="O285" s="47">
        <v>0</v>
      </c>
      <c r="P285" s="142">
        <f t="shared" si="40"/>
        <v>0</v>
      </c>
      <c r="Q285" s="142">
        <f t="shared" ca="1" si="39"/>
        <v>3</v>
      </c>
      <c r="R285" s="142">
        <f t="shared" si="36"/>
        <v>3</v>
      </c>
      <c r="S285" s="227"/>
      <c r="T285" s="227"/>
      <c r="U285" s="228"/>
      <c r="V285" s="229"/>
      <c r="W285" s="227"/>
      <c r="X285" s="229"/>
      <c r="Y285" s="217"/>
      <c r="Z285" s="49"/>
    </row>
    <row r="286" spans="1:26" s="50" customFormat="1" ht="32.1" customHeight="1" x14ac:dyDescent="0.2">
      <c r="A286" s="48" t="s">
        <v>738</v>
      </c>
      <c r="B286" s="48" t="s">
        <v>738</v>
      </c>
      <c r="C286" s="48" t="s">
        <v>738</v>
      </c>
      <c r="D286" s="48" t="s">
        <v>380</v>
      </c>
      <c r="E286" s="45">
        <f t="shared" si="37"/>
        <v>10</v>
      </c>
      <c r="F286" s="143" t="s">
        <v>649</v>
      </c>
      <c r="G286" s="143" t="s">
        <v>651</v>
      </c>
      <c r="H286" s="143" t="s">
        <v>651</v>
      </c>
      <c r="I286" s="143" t="s">
        <v>210</v>
      </c>
      <c r="J286" s="143" t="s">
        <v>210</v>
      </c>
      <c r="K286" s="143" t="s">
        <v>210</v>
      </c>
      <c r="L286" s="143">
        <v>2</v>
      </c>
      <c r="M286" s="142" t="str">
        <f t="shared" ca="1" si="38"/>
        <v>Aucune case cochée</v>
      </c>
      <c r="N286" s="142" t="str">
        <f t="shared" ca="1" si="35"/>
        <v>Aucune case cochée</v>
      </c>
      <c r="O286" s="47">
        <v>1</v>
      </c>
      <c r="P286" s="142">
        <f t="shared" si="40"/>
        <v>2</v>
      </c>
      <c r="Q286" s="142">
        <f t="shared" ca="1" si="39"/>
        <v>2</v>
      </c>
      <c r="R286" s="142">
        <f t="shared" si="36"/>
        <v>2</v>
      </c>
      <c r="S286" s="227">
        <f>SUM(P286:P289)</f>
        <v>4</v>
      </c>
      <c r="T286" s="227">
        <f>SUM(R286:R289)</f>
        <v>10</v>
      </c>
      <c r="U286" s="228">
        <f>+S286/T286</f>
        <v>0.4</v>
      </c>
      <c r="V286" s="229">
        <v>1</v>
      </c>
      <c r="W286" s="230">
        <f>U286*V286</f>
        <v>0.4</v>
      </c>
      <c r="X286" s="229">
        <v>0.01</v>
      </c>
      <c r="Y286" s="217"/>
      <c r="Z286" s="49"/>
    </row>
    <row r="287" spans="1:26" s="50" customFormat="1" ht="32.1" customHeight="1" x14ac:dyDescent="0.2">
      <c r="A287" s="48" t="s">
        <v>738</v>
      </c>
      <c r="B287" s="48" t="s">
        <v>738</v>
      </c>
      <c r="C287" s="48" t="s">
        <v>738</v>
      </c>
      <c r="D287" s="48" t="s">
        <v>381</v>
      </c>
      <c r="E287" s="45">
        <f t="shared" si="37"/>
        <v>12</v>
      </c>
      <c r="F287" s="143" t="s">
        <v>649</v>
      </c>
      <c r="G287" s="143" t="s">
        <v>651</v>
      </c>
      <c r="H287" s="143" t="s">
        <v>651</v>
      </c>
      <c r="I287" s="143" t="s">
        <v>210</v>
      </c>
      <c r="J287" s="143" t="s">
        <v>210</v>
      </c>
      <c r="K287" s="143" t="s">
        <v>210</v>
      </c>
      <c r="L287" s="143">
        <v>2</v>
      </c>
      <c r="M287" s="142" t="str">
        <f t="shared" ca="1" si="38"/>
        <v>Aucune case cochée</v>
      </c>
      <c r="N287" s="142" t="str">
        <f t="shared" ca="1" si="35"/>
        <v>Aucune case cochée</v>
      </c>
      <c r="O287" s="47">
        <v>1</v>
      </c>
      <c r="P287" s="142">
        <f t="shared" si="40"/>
        <v>2</v>
      </c>
      <c r="Q287" s="142">
        <f t="shared" ca="1" si="39"/>
        <v>2</v>
      </c>
      <c r="R287" s="142">
        <f t="shared" si="36"/>
        <v>2</v>
      </c>
      <c r="S287" s="227"/>
      <c r="T287" s="227"/>
      <c r="U287" s="228"/>
      <c r="V287" s="229"/>
      <c r="W287" s="230"/>
      <c r="X287" s="229"/>
      <c r="Y287" s="217"/>
      <c r="Z287" s="49"/>
    </row>
    <row r="288" spans="1:26" s="50" customFormat="1" ht="32.1" customHeight="1" x14ac:dyDescent="0.2">
      <c r="A288" s="48" t="s">
        <v>738</v>
      </c>
      <c r="B288" s="48" t="s">
        <v>738</v>
      </c>
      <c r="C288" s="48" t="s">
        <v>738</v>
      </c>
      <c r="D288" s="48" t="s">
        <v>382</v>
      </c>
      <c r="E288" s="45">
        <f t="shared" si="37"/>
        <v>14</v>
      </c>
      <c r="F288" s="143" t="s">
        <v>656</v>
      </c>
      <c r="G288" s="143" t="s">
        <v>651</v>
      </c>
      <c r="H288" s="143" t="s">
        <v>651</v>
      </c>
      <c r="I288" s="143" t="s">
        <v>210</v>
      </c>
      <c r="J288" s="143" t="s">
        <v>210</v>
      </c>
      <c r="K288" s="143" t="s">
        <v>210</v>
      </c>
      <c r="L288" s="143">
        <v>1</v>
      </c>
      <c r="M288" s="142" t="str">
        <f t="shared" ca="1" si="38"/>
        <v>Aucune case cochée</v>
      </c>
      <c r="N288" s="142" t="str">
        <f t="shared" ca="1" si="35"/>
        <v>Aucune case cochée</v>
      </c>
      <c r="O288" s="47">
        <v>0</v>
      </c>
      <c r="P288" s="142">
        <f t="shared" si="40"/>
        <v>0</v>
      </c>
      <c r="Q288" s="142">
        <f t="shared" ca="1" si="39"/>
        <v>3</v>
      </c>
      <c r="R288" s="142">
        <f t="shared" si="36"/>
        <v>3</v>
      </c>
      <c r="S288" s="227"/>
      <c r="T288" s="227"/>
      <c r="U288" s="228"/>
      <c r="V288" s="229"/>
      <c r="W288" s="227"/>
      <c r="X288" s="229"/>
      <c r="Y288" s="217"/>
      <c r="Z288" s="49"/>
    </row>
    <row r="289" spans="1:26" s="50" customFormat="1" ht="32.1" customHeight="1" x14ac:dyDescent="0.2">
      <c r="A289" s="48" t="s">
        <v>738</v>
      </c>
      <c r="B289" s="48" t="s">
        <v>738</v>
      </c>
      <c r="C289" s="48" t="s">
        <v>738</v>
      </c>
      <c r="D289" s="48" t="s">
        <v>383</v>
      </c>
      <c r="E289" s="45">
        <f t="shared" si="37"/>
        <v>16</v>
      </c>
      <c r="F289" s="143" t="s">
        <v>656</v>
      </c>
      <c r="G289" s="143" t="s">
        <v>651</v>
      </c>
      <c r="H289" s="143" t="s">
        <v>651</v>
      </c>
      <c r="I289" s="143" t="s">
        <v>210</v>
      </c>
      <c r="J289" s="143" t="s">
        <v>210</v>
      </c>
      <c r="K289" s="143" t="s">
        <v>210</v>
      </c>
      <c r="L289" s="143">
        <v>1</v>
      </c>
      <c r="M289" s="142" t="str">
        <f t="shared" ca="1" si="38"/>
        <v>Aucune case cochée</v>
      </c>
      <c r="N289" s="142" t="str">
        <f t="shared" ca="1" si="35"/>
        <v>Aucune case cochée</v>
      </c>
      <c r="O289" s="47">
        <v>0</v>
      </c>
      <c r="P289" s="142">
        <f t="shared" si="40"/>
        <v>0</v>
      </c>
      <c r="Q289" s="142">
        <f t="shared" ca="1" si="39"/>
        <v>3</v>
      </c>
      <c r="R289" s="142">
        <f t="shared" si="36"/>
        <v>3</v>
      </c>
      <c r="S289" s="227"/>
      <c r="T289" s="227"/>
      <c r="U289" s="228"/>
      <c r="V289" s="229"/>
      <c r="W289" s="227"/>
      <c r="X289" s="229"/>
      <c r="Y289" s="217"/>
      <c r="Z289" s="49"/>
    </row>
    <row r="290" spans="1:26" ht="32.1" customHeight="1" x14ac:dyDescent="0.2">
      <c r="A290" s="44" t="s">
        <v>739</v>
      </c>
      <c r="B290" s="44" t="s">
        <v>740</v>
      </c>
      <c r="C290" s="44" t="s">
        <v>682</v>
      </c>
      <c r="D290" s="44" t="s">
        <v>385</v>
      </c>
      <c r="E290" s="45">
        <f t="shared" si="37"/>
        <v>10</v>
      </c>
      <c r="F290" s="142" t="s">
        <v>649</v>
      </c>
      <c r="G290" s="142" t="s">
        <v>650</v>
      </c>
      <c r="H290" s="142" t="s">
        <v>650</v>
      </c>
      <c r="I290" s="142" t="s">
        <v>650</v>
      </c>
      <c r="J290" s="142" t="s">
        <v>650</v>
      </c>
      <c r="K290" s="142" t="s">
        <v>650</v>
      </c>
      <c r="L290" s="142">
        <v>1</v>
      </c>
      <c r="M290" s="142" t="str">
        <f t="shared" ca="1" si="38"/>
        <v>Aucune case cochée</v>
      </c>
      <c r="N290" s="146" t="str">
        <f ca="1">IF(M290="Aucune case cochée",M290,IF(M290&lt;&gt;"Min. 30 m²",0))</f>
        <v>Aucune case cochée</v>
      </c>
      <c r="O290" s="47" t="s">
        <v>741</v>
      </c>
      <c r="P290" s="142">
        <f ca="1">IF(M290="Min. 35m²",6,IF(M290="Min. 25m²",5,IF(M290="Min. 20m²",3,IF(M290="Min. 15m²",2,IF(M290="Min. 10m²",1,0)))))</f>
        <v>0</v>
      </c>
      <c r="Q290" s="142">
        <f t="shared" ca="1" si="39"/>
        <v>6</v>
      </c>
      <c r="R290" s="142">
        <v>6</v>
      </c>
      <c r="S290" s="218">
        <f ca="1">SUM(P290:P297)</f>
        <v>8</v>
      </c>
      <c r="T290" s="218">
        <f>SUM(R290:R297)</f>
        <v>20</v>
      </c>
      <c r="U290" s="219">
        <f ca="1">+S290/T290</f>
        <v>0.4</v>
      </c>
      <c r="V290" s="220">
        <v>0.1</v>
      </c>
      <c r="W290" s="222">
        <f ca="1">U290*V290+U298*V298+U306*V306+U315*V315+U328*V328+U332*V332+U341*V341+U350*V350+U356*V356+U365*V365+U376*V376</f>
        <v>0.69030345471521948</v>
      </c>
      <c r="X290" s="220">
        <v>0.25</v>
      </c>
      <c r="Y290" s="217"/>
      <c r="Z290" s="17"/>
    </row>
    <row r="291" spans="1:26" ht="32.1" customHeight="1" x14ac:dyDescent="0.2">
      <c r="A291" s="44" t="s">
        <v>739</v>
      </c>
      <c r="B291" s="44" t="s">
        <v>740</v>
      </c>
      <c r="C291" s="44" t="s">
        <v>682</v>
      </c>
      <c r="D291" s="44" t="s">
        <v>392</v>
      </c>
      <c r="E291" s="45">
        <f t="shared" si="37"/>
        <v>12</v>
      </c>
      <c r="F291" s="142" t="s">
        <v>649</v>
      </c>
      <c r="G291" s="142" t="s">
        <v>650</v>
      </c>
      <c r="H291" s="142" t="s">
        <v>650</v>
      </c>
      <c r="I291" s="142" t="s">
        <v>650</v>
      </c>
      <c r="J291" s="142" t="s">
        <v>650</v>
      </c>
      <c r="K291" s="142" t="s">
        <v>650</v>
      </c>
      <c r="L291" s="142">
        <v>2</v>
      </c>
      <c r="M291" s="142" t="str">
        <f t="shared" ca="1" si="38"/>
        <v>Aucune case cochée</v>
      </c>
      <c r="N291" s="142" t="str">
        <f ca="1">IF(M291="Aucune case cochée",M291,IF(M291="NC","Non concerné",IF(M291="Oui",1*L291,IF(M291="Non",0,L291*M291))))</f>
        <v>Aucune case cochée</v>
      </c>
      <c r="O291" s="47">
        <v>1</v>
      </c>
      <c r="P291" s="142">
        <f t="shared" ref="P291:P309" si="41">IF(O291="Non concerné",O291,O291*L291)</f>
        <v>2</v>
      </c>
      <c r="Q291" s="142">
        <f t="shared" ca="1" si="39"/>
        <v>2</v>
      </c>
      <c r="R291" s="142">
        <f t="shared" si="36"/>
        <v>2</v>
      </c>
      <c r="S291" s="218"/>
      <c r="T291" s="218"/>
      <c r="U291" s="219"/>
      <c r="V291" s="220"/>
      <c r="W291" s="218"/>
      <c r="X291" s="220"/>
      <c r="Y291" s="217"/>
      <c r="Z291" s="17"/>
    </row>
    <row r="292" spans="1:26" ht="32.1" customHeight="1" x14ac:dyDescent="0.2">
      <c r="A292" s="44" t="s">
        <v>739</v>
      </c>
      <c r="B292" s="44" t="s">
        <v>740</v>
      </c>
      <c r="C292" s="44" t="s">
        <v>682</v>
      </c>
      <c r="D292" s="44" t="s">
        <v>393</v>
      </c>
      <c r="E292" s="45">
        <f t="shared" si="37"/>
        <v>14</v>
      </c>
      <c r="F292" s="142" t="s">
        <v>656</v>
      </c>
      <c r="G292" s="142" t="s">
        <v>650</v>
      </c>
      <c r="H292" s="142" t="s">
        <v>650</v>
      </c>
      <c r="I292" s="142" t="s">
        <v>650</v>
      </c>
      <c r="J292" s="142" t="s">
        <v>650</v>
      </c>
      <c r="K292" s="142" t="s">
        <v>650</v>
      </c>
      <c r="L292" s="142">
        <v>1</v>
      </c>
      <c r="M292" s="142" t="str">
        <f t="shared" ca="1" si="38"/>
        <v>Aucune case cochée</v>
      </c>
      <c r="N292" s="142" t="str">
        <f t="shared" ref="N292:N309" ca="1" si="42">IF(M292="Aucune case cochée",M292,IF(M292="NC","Non concerné",IF(M292="Oui",1*L292,IF(M292="Non",0,L292*M292))))</f>
        <v>Aucune case cochée</v>
      </c>
      <c r="O292" s="47">
        <v>0</v>
      </c>
      <c r="P292" s="142">
        <f t="shared" si="41"/>
        <v>0</v>
      </c>
      <c r="Q292" s="142">
        <f t="shared" ca="1" si="39"/>
        <v>3</v>
      </c>
      <c r="R292" s="142">
        <f t="shared" si="36"/>
        <v>3</v>
      </c>
      <c r="S292" s="218"/>
      <c r="T292" s="218"/>
      <c r="U292" s="219"/>
      <c r="V292" s="220"/>
      <c r="W292" s="218"/>
      <c r="X292" s="220"/>
      <c r="Y292" s="217"/>
      <c r="Z292" s="17"/>
    </row>
    <row r="293" spans="1:26" ht="32.1" customHeight="1" x14ac:dyDescent="0.2">
      <c r="A293" s="44" t="s">
        <v>739</v>
      </c>
      <c r="B293" s="44" t="s">
        <v>740</v>
      </c>
      <c r="C293" s="44" t="s">
        <v>682</v>
      </c>
      <c r="D293" s="44" t="s">
        <v>394</v>
      </c>
      <c r="E293" s="45">
        <f t="shared" si="37"/>
        <v>16</v>
      </c>
      <c r="F293" s="142" t="s">
        <v>656</v>
      </c>
      <c r="G293" s="142" t="s">
        <v>650</v>
      </c>
      <c r="H293" s="142" t="s">
        <v>650</v>
      </c>
      <c r="I293" s="142" t="s">
        <v>650</v>
      </c>
      <c r="J293" s="142" t="s">
        <v>650</v>
      </c>
      <c r="K293" s="142" t="s">
        <v>650</v>
      </c>
      <c r="L293" s="142">
        <v>1</v>
      </c>
      <c r="M293" s="142" t="str">
        <f t="shared" ca="1" si="38"/>
        <v>Aucune case cochée</v>
      </c>
      <c r="N293" s="142" t="str">
        <f t="shared" ca="1" si="42"/>
        <v>Aucune case cochée</v>
      </c>
      <c r="O293" s="47">
        <v>0</v>
      </c>
      <c r="P293" s="142">
        <f t="shared" si="41"/>
        <v>0</v>
      </c>
      <c r="Q293" s="142">
        <f t="shared" ca="1" si="39"/>
        <v>3</v>
      </c>
      <c r="R293" s="142">
        <f t="shared" si="36"/>
        <v>3</v>
      </c>
      <c r="S293" s="218"/>
      <c r="T293" s="218"/>
      <c r="U293" s="219"/>
      <c r="V293" s="220"/>
      <c r="W293" s="218"/>
      <c r="X293" s="220"/>
      <c r="Y293" s="217"/>
      <c r="Z293" s="17"/>
    </row>
    <row r="294" spans="1:26" ht="32.1" customHeight="1" x14ac:dyDescent="0.2">
      <c r="A294" s="44" t="s">
        <v>739</v>
      </c>
      <c r="B294" s="44" t="s">
        <v>740</v>
      </c>
      <c r="C294" s="44" t="s">
        <v>682</v>
      </c>
      <c r="D294" s="48" t="s">
        <v>395</v>
      </c>
      <c r="E294" s="45">
        <f t="shared" si="37"/>
        <v>18</v>
      </c>
      <c r="F294" s="142" t="s">
        <v>649</v>
      </c>
      <c r="G294" s="142" t="s">
        <v>650</v>
      </c>
      <c r="H294" s="142" t="s">
        <v>650</v>
      </c>
      <c r="I294" s="142" t="s">
        <v>651</v>
      </c>
      <c r="J294" s="142" t="s">
        <v>651</v>
      </c>
      <c r="K294" s="142" t="s">
        <v>210</v>
      </c>
      <c r="L294" s="142">
        <v>2</v>
      </c>
      <c r="M294" s="142" t="str">
        <f t="shared" ca="1" si="38"/>
        <v>Aucune case cochée</v>
      </c>
      <c r="N294" s="142" t="str">
        <f t="shared" ca="1" si="42"/>
        <v>Aucune case cochée</v>
      </c>
      <c r="O294" s="47">
        <v>1</v>
      </c>
      <c r="P294" s="142">
        <f t="shared" si="41"/>
        <v>2</v>
      </c>
      <c r="Q294" s="142">
        <f t="shared" ca="1" si="39"/>
        <v>2</v>
      </c>
      <c r="R294" s="142">
        <f t="shared" si="36"/>
        <v>2</v>
      </c>
      <c r="S294" s="218"/>
      <c r="T294" s="218"/>
      <c r="U294" s="219"/>
      <c r="V294" s="220"/>
      <c r="W294" s="218"/>
      <c r="X294" s="220"/>
      <c r="Y294" s="217"/>
      <c r="Z294" s="17"/>
    </row>
    <row r="295" spans="1:26" ht="32.1" customHeight="1" x14ac:dyDescent="0.2">
      <c r="A295" s="44" t="s">
        <v>739</v>
      </c>
      <c r="B295" s="44" t="s">
        <v>740</v>
      </c>
      <c r="C295" s="44" t="s">
        <v>682</v>
      </c>
      <c r="D295" s="44" t="s">
        <v>396</v>
      </c>
      <c r="E295" s="45">
        <f t="shared" si="37"/>
        <v>20</v>
      </c>
      <c r="F295" s="142" t="s">
        <v>649</v>
      </c>
      <c r="G295" s="142" t="s">
        <v>650</v>
      </c>
      <c r="H295" s="142" t="s">
        <v>650</v>
      </c>
      <c r="I295" s="142" t="s">
        <v>650</v>
      </c>
      <c r="J295" s="142" t="s">
        <v>650</v>
      </c>
      <c r="K295" s="142" t="s">
        <v>651</v>
      </c>
      <c r="L295" s="142">
        <v>2</v>
      </c>
      <c r="M295" s="142" t="str">
        <f t="shared" ca="1" si="38"/>
        <v>Aucune case cochée</v>
      </c>
      <c r="N295" s="142" t="str">
        <f t="shared" ca="1" si="42"/>
        <v>Aucune case cochée</v>
      </c>
      <c r="O295" s="47">
        <v>1</v>
      </c>
      <c r="P295" s="142">
        <f t="shared" si="41"/>
        <v>2</v>
      </c>
      <c r="Q295" s="142">
        <f t="shared" ca="1" si="39"/>
        <v>2</v>
      </c>
      <c r="R295" s="142">
        <f t="shared" si="36"/>
        <v>2</v>
      </c>
      <c r="S295" s="218"/>
      <c r="T295" s="218"/>
      <c r="U295" s="219"/>
      <c r="V295" s="220"/>
      <c r="W295" s="218"/>
      <c r="X295" s="220"/>
      <c r="Y295" s="217"/>
      <c r="Z295" s="17"/>
    </row>
    <row r="296" spans="1:26" ht="32.1" customHeight="1" x14ac:dyDescent="0.2">
      <c r="A296" s="44" t="s">
        <v>739</v>
      </c>
      <c r="B296" s="44" t="s">
        <v>740</v>
      </c>
      <c r="C296" s="44" t="s">
        <v>682</v>
      </c>
      <c r="D296" s="44" t="s">
        <v>397</v>
      </c>
      <c r="E296" s="45">
        <f t="shared" si="37"/>
        <v>22</v>
      </c>
      <c r="F296" s="142" t="s">
        <v>649</v>
      </c>
      <c r="G296" s="142" t="s">
        <v>651</v>
      </c>
      <c r="H296" s="142" t="s">
        <v>651</v>
      </c>
      <c r="I296" s="142" t="s">
        <v>651</v>
      </c>
      <c r="J296" s="142" t="s">
        <v>651</v>
      </c>
      <c r="K296" s="142" t="s">
        <v>651</v>
      </c>
      <c r="L296" s="142">
        <v>1</v>
      </c>
      <c r="M296" s="142" t="str">
        <f t="shared" ca="1" si="38"/>
        <v>Aucune case cochée</v>
      </c>
      <c r="N296" s="142" t="str">
        <f t="shared" ca="1" si="42"/>
        <v>Aucune case cochée</v>
      </c>
      <c r="O296" s="47">
        <v>1</v>
      </c>
      <c r="P296" s="142">
        <f t="shared" si="41"/>
        <v>1</v>
      </c>
      <c r="Q296" s="142">
        <f t="shared" ca="1" si="39"/>
        <v>1</v>
      </c>
      <c r="R296" s="142">
        <f t="shared" si="36"/>
        <v>1</v>
      </c>
      <c r="S296" s="218"/>
      <c r="T296" s="218"/>
      <c r="U296" s="219"/>
      <c r="V296" s="220"/>
      <c r="W296" s="218"/>
      <c r="X296" s="220"/>
      <c r="Y296" s="217"/>
      <c r="Z296" s="17"/>
    </row>
    <row r="297" spans="1:26" ht="32.1" customHeight="1" x14ac:dyDescent="0.2">
      <c r="A297" s="44" t="s">
        <v>739</v>
      </c>
      <c r="B297" s="44" t="s">
        <v>740</v>
      </c>
      <c r="C297" s="44" t="s">
        <v>682</v>
      </c>
      <c r="D297" s="44" t="s">
        <v>398</v>
      </c>
      <c r="E297" s="45">
        <f t="shared" si="37"/>
        <v>24</v>
      </c>
      <c r="F297" s="142" t="s">
        <v>649</v>
      </c>
      <c r="G297" s="142" t="s">
        <v>651</v>
      </c>
      <c r="H297" s="142" t="s">
        <v>651</v>
      </c>
      <c r="I297" s="142" t="s">
        <v>651</v>
      </c>
      <c r="J297" s="142" t="s">
        <v>651</v>
      </c>
      <c r="K297" s="142" t="s">
        <v>651</v>
      </c>
      <c r="L297" s="142">
        <v>1</v>
      </c>
      <c r="M297" s="142" t="str">
        <f t="shared" ca="1" si="38"/>
        <v>Aucune case cochée</v>
      </c>
      <c r="N297" s="142" t="str">
        <f t="shared" ca="1" si="42"/>
        <v>Aucune case cochée</v>
      </c>
      <c r="O297" s="47">
        <v>1</v>
      </c>
      <c r="P297" s="142">
        <f t="shared" si="41"/>
        <v>1</v>
      </c>
      <c r="Q297" s="142">
        <f t="shared" ca="1" si="39"/>
        <v>1</v>
      </c>
      <c r="R297" s="142">
        <f t="shared" si="36"/>
        <v>1</v>
      </c>
      <c r="S297" s="218"/>
      <c r="T297" s="218"/>
      <c r="U297" s="219"/>
      <c r="V297" s="220"/>
      <c r="W297" s="218"/>
      <c r="X297" s="220"/>
      <c r="Y297" s="217"/>
      <c r="Z297" s="17"/>
    </row>
    <row r="298" spans="1:26" ht="32.1" customHeight="1" x14ac:dyDescent="0.2">
      <c r="A298" s="44" t="s">
        <v>739</v>
      </c>
      <c r="B298" s="44" t="s">
        <v>740</v>
      </c>
      <c r="C298" s="44" t="s">
        <v>742</v>
      </c>
      <c r="D298" s="44" t="s">
        <v>400</v>
      </c>
      <c r="E298" s="45">
        <f t="shared" si="37"/>
        <v>27</v>
      </c>
      <c r="F298" s="142" t="s">
        <v>649</v>
      </c>
      <c r="G298" s="142" t="s">
        <v>650</v>
      </c>
      <c r="H298" s="142" t="s">
        <v>650</v>
      </c>
      <c r="I298" s="142" t="s">
        <v>650</v>
      </c>
      <c r="J298" s="142" t="s">
        <v>650</v>
      </c>
      <c r="K298" s="142" t="s">
        <v>650</v>
      </c>
      <c r="L298" s="142">
        <v>1</v>
      </c>
      <c r="M298" s="142" t="str">
        <f t="shared" ca="1" si="38"/>
        <v>Aucune case cochée</v>
      </c>
      <c r="N298" s="142" t="str">
        <f t="shared" ca="1" si="42"/>
        <v>Aucune case cochée</v>
      </c>
      <c r="O298" s="47">
        <v>1</v>
      </c>
      <c r="P298" s="142">
        <f t="shared" si="41"/>
        <v>1</v>
      </c>
      <c r="Q298" s="142">
        <f t="shared" ca="1" si="39"/>
        <v>1</v>
      </c>
      <c r="R298" s="142">
        <f t="shared" si="36"/>
        <v>1</v>
      </c>
      <c r="S298" s="218">
        <f>SUM(P298:P305)</f>
        <v>11</v>
      </c>
      <c r="T298" s="218">
        <f>SUM(R298:R305)</f>
        <v>17</v>
      </c>
      <c r="U298" s="219">
        <f>+S298/T298</f>
        <v>0.6470588235294118</v>
      </c>
      <c r="V298" s="220">
        <v>2.5000000000000001E-2</v>
      </c>
      <c r="W298" s="218"/>
      <c r="X298" s="220"/>
      <c r="Y298" s="217"/>
      <c r="Z298" s="17"/>
    </row>
    <row r="299" spans="1:26" ht="32.1" customHeight="1" x14ac:dyDescent="0.2">
      <c r="A299" s="44" t="s">
        <v>739</v>
      </c>
      <c r="B299" s="44" t="s">
        <v>740</v>
      </c>
      <c r="C299" s="44" t="s">
        <v>742</v>
      </c>
      <c r="D299" s="44" t="s">
        <v>401</v>
      </c>
      <c r="E299" s="45">
        <f t="shared" si="37"/>
        <v>29</v>
      </c>
      <c r="F299" s="142" t="s">
        <v>649</v>
      </c>
      <c r="G299" s="142" t="s">
        <v>650</v>
      </c>
      <c r="H299" s="142" t="s">
        <v>650</v>
      </c>
      <c r="I299" s="142" t="s">
        <v>651</v>
      </c>
      <c r="J299" s="142" t="s">
        <v>651</v>
      </c>
      <c r="K299" s="142" t="s">
        <v>651</v>
      </c>
      <c r="L299" s="142">
        <v>2</v>
      </c>
      <c r="M299" s="142" t="str">
        <f t="shared" ca="1" si="38"/>
        <v>Aucune case cochée</v>
      </c>
      <c r="N299" s="142" t="str">
        <f t="shared" ca="1" si="42"/>
        <v>Aucune case cochée</v>
      </c>
      <c r="O299" s="47">
        <v>1</v>
      </c>
      <c r="P299" s="142">
        <f t="shared" si="41"/>
        <v>2</v>
      </c>
      <c r="Q299" s="142">
        <f t="shared" ca="1" si="39"/>
        <v>2</v>
      </c>
      <c r="R299" s="142">
        <f t="shared" si="36"/>
        <v>2</v>
      </c>
      <c r="S299" s="218"/>
      <c r="T299" s="218"/>
      <c r="U299" s="219"/>
      <c r="V299" s="220"/>
      <c r="W299" s="218"/>
      <c r="X299" s="220"/>
      <c r="Y299" s="217"/>
      <c r="Z299" s="17"/>
    </row>
    <row r="300" spans="1:26" ht="32.1" customHeight="1" x14ac:dyDescent="0.2">
      <c r="A300" s="44" t="s">
        <v>739</v>
      </c>
      <c r="B300" s="44" t="s">
        <v>740</v>
      </c>
      <c r="C300" s="44" t="s">
        <v>742</v>
      </c>
      <c r="D300" s="44" t="s">
        <v>402</v>
      </c>
      <c r="E300" s="45">
        <f t="shared" si="37"/>
        <v>31</v>
      </c>
      <c r="F300" s="142" t="s">
        <v>649</v>
      </c>
      <c r="G300" s="142" t="s">
        <v>650</v>
      </c>
      <c r="H300" s="142" t="s">
        <v>650</v>
      </c>
      <c r="I300" s="142" t="s">
        <v>651</v>
      </c>
      <c r="J300" s="142" t="s">
        <v>651</v>
      </c>
      <c r="K300" s="142" t="s">
        <v>651</v>
      </c>
      <c r="L300" s="142">
        <v>2</v>
      </c>
      <c r="M300" s="142" t="str">
        <f t="shared" ca="1" si="38"/>
        <v>Aucune case cochée</v>
      </c>
      <c r="N300" s="142" t="str">
        <f t="shared" ca="1" si="42"/>
        <v>Aucune case cochée</v>
      </c>
      <c r="O300" s="47">
        <v>1</v>
      </c>
      <c r="P300" s="142">
        <f t="shared" si="41"/>
        <v>2</v>
      </c>
      <c r="Q300" s="142">
        <f t="shared" ca="1" si="39"/>
        <v>2</v>
      </c>
      <c r="R300" s="142">
        <f t="shared" si="36"/>
        <v>2</v>
      </c>
      <c r="S300" s="218"/>
      <c r="T300" s="218"/>
      <c r="U300" s="219"/>
      <c r="V300" s="220"/>
      <c r="W300" s="218"/>
      <c r="X300" s="220"/>
      <c r="Y300" s="217"/>
      <c r="Z300" s="17"/>
    </row>
    <row r="301" spans="1:26" ht="32.1" customHeight="1" x14ac:dyDescent="0.2">
      <c r="A301" s="44" t="s">
        <v>739</v>
      </c>
      <c r="B301" s="44" t="s">
        <v>740</v>
      </c>
      <c r="C301" s="44" t="s">
        <v>742</v>
      </c>
      <c r="D301" s="44" t="s">
        <v>403</v>
      </c>
      <c r="E301" s="45">
        <f t="shared" si="37"/>
        <v>33</v>
      </c>
      <c r="F301" s="142" t="s">
        <v>649</v>
      </c>
      <c r="G301" s="142" t="s">
        <v>650</v>
      </c>
      <c r="H301" s="142" t="s">
        <v>650</v>
      </c>
      <c r="I301" s="142" t="s">
        <v>650</v>
      </c>
      <c r="J301" s="142" t="s">
        <v>650</v>
      </c>
      <c r="K301" s="142" t="s">
        <v>650</v>
      </c>
      <c r="L301" s="142">
        <v>2</v>
      </c>
      <c r="M301" s="142" t="str">
        <f t="shared" ca="1" si="38"/>
        <v>Aucune case cochée</v>
      </c>
      <c r="N301" s="142" t="str">
        <f t="shared" ca="1" si="42"/>
        <v>Aucune case cochée</v>
      </c>
      <c r="O301" s="47">
        <v>1</v>
      </c>
      <c r="P301" s="142">
        <f t="shared" si="41"/>
        <v>2</v>
      </c>
      <c r="Q301" s="142">
        <f t="shared" ca="1" si="39"/>
        <v>2</v>
      </c>
      <c r="R301" s="142">
        <f t="shared" si="36"/>
        <v>2</v>
      </c>
      <c r="S301" s="218"/>
      <c r="T301" s="218"/>
      <c r="U301" s="219"/>
      <c r="V301" s="220"/>
      <c r="W301" s="218"/>
      <c r="X301" s="220"/>
      <c r="Y301" s="217"/>
      <c r="Z301" s="17"/>
    </row>
    <row r="302" spans="1:26" ht="32.1" customHeight="1" x14ac:dyDescent="0.2">
      <c r="A302" s="44" t="s">
        <v>739</v>
      </c>
      <c r="B302" s="44" t="s">
        <v>740</v>
      </c>
      <c r="C302" s="44" t="s">
        <v>742</v>
      </c>
      <c r="D302" s="44" t="s">
        <v>404</v>
      </c>
      <c r="E302" s="45">
        <f t="shared" si="37"/>
        <v>35</v>
      </c>
      <c r="F302" s="142" t="s">
        <v>649</v>
      </c>
      <c r="G302" s="142" t="s">
        <v>650</v>
      </c>
      <c r="H302" s="142" t="s">
        <v>650</v>
      </c>
      <c r="I302" s="142" t="s">
        <v>650</v>
      </c>
      <c r="J302" s="142" t="s">
        <v>650</v>
      </c>
      <c r="K302" s="142" t="s">
        <v>650</v>
      </c>
      <c r="L302" s="142">
        <v>2</v>
      </c>
      <c r="M302" s="142" t="str">
        <f t="shared" ca="1" si="38"/>
        <v>Aucune case cochée</v>
      </c>
      <c r="N302" s="142" t="str">
        <f t="shared" ca="1" si="42"/>
        <v>Aucune case cochée</v>
      </c>
      <c r="O302" s="47">
        <v>1</v>
      </c>
      <c r="P302" s="142">
        <f t="shared" si="41"/>
        <v>2</v>
      </c>
      <c r="Q302" s="142">
        <f t="shared" ca="1" si="39"/>
        <v>2</v>
      </c>
      <c r="R302" s="142">
        <f t="shared" si="36"/>
        <v>2</v>
      </c>
      <c r="S302" s="218"/>
      <c r="T302" s="218"/>
      <c r="U302" s="219"/>
      <c r="V302" s="220"/>
      <c r="W302" s="218"/>
      <c r="X302" s="220"/>
      <c r="Y302" s="217"/>
      <c r="Z302" s="17"/>
    </row>
    <row r="303" spans="1:26" ht="32.1" customHeight="1" x14ac:dyDescent="0.2">
      <c r="A303" s="44" t="s">
        <v>739</v>
      </c>
      <c r="B303" s="44" t="s">
        <v>740</v>
      </c>
      <c r="C303" s="44" t="s">
        <v>742</v>
      </c>
      <c r="D303" s="48" t="s">
        <v>405</v>
      </c>
      <c r="E303" s="45">
        <f t="shared" si="37"/>
        <v>37</v>
      </c>
      <c r="F303" s="142" t="s">
        <v>649</v>
      </c>
      <c r="G303" s="142" t="s">
        <v>650</v>
      </c>
      <c r="H303" s="142" t="s">
        <v>650</v>
      </c>
      <c r="I303" s="142" t="s">
        <v>651</v>
      </c>
      <c r="J303" s="142" t="s">
        <v>210</v>
      </c>
      <c r="K303" s="142" t="s">
        <v>210</v>
      </c>
      <c r="L303" s="142">
        <v>2</v>
      </c>
      <c r="M303" s="142" t="str">
        <f t="shared" ca="1" si="38"/>
        <v>Aucune case cochée</v>
      </c>
      <c r="N303" s="142" t="str">
        <f t="shared" ca="1" si="42"/>
        <v>Aucune case cochée</v>
      </c>
      <c r="O303" s="47">
        <v>1</v>
      </c>
      <c r="P303" s="142">
        <f t="shared" si="41"/>
        <v>2</v>
      </c>
      <c r="Q303" s="142">
        <f t="shared" ca="1" si="39"/>
        <v>2</v>
      </c>
      <c r="R303" s="142">
        <f t="shared" si="36"/>
        <v>2</v>
      </c>
      <c r="S303" s="218"/>
      <c r="T303" s="218"/>
      <c r="U303" s="219"/>
      <c r="V303" s="220"/>
      <c r="W303" s="218"/>
      <c r="X303" s="220"/>
      <c r="Y303" s="217"/>
      <c r="Z303" s="17"/>
    </row>
    <row r="304" spans="1:26" ht="32.1" customHeight="1" x14ac:dyDescent="0.2">
      <c r="A304" s="44" t="s">
        <v>739</v>
      </c>
      <c r="B304" s="44" t="s">
        <v>740</v>
      </c>
      <c r="C304" s="44" t="s">
        <v>742</v>
      </c>
      <c r="D304" s="44" t="s">
        <v>406</v>
      </c>
      <c r="E304" s="45">
        <f t="shared" si="37"/>
        <v>39</v>
      </c>
      <c r="F304" s="142" t="s">
        <v>656</v>
      </c>
      <c r="G304" s="142" t="s">
        <v>650</v>
      </c>
      <c r="H304" s="142" t="s">
        <v>650</v>
      </c>
      <c r="I304" s="142" t="s">
        <v>650</v>
      </c>
      <c r="J304" s="142" t="s">
        <v>650</v>
      </c>
      <c r="K304" s="142" t="s">
        <v>650</v>
      </c>
      <c r="L304" s="142">
        <v>1</v>
      </c>
      <c r="M304" s="142" t="str">
        <f t="shared" ca="1" si="38"/>
        <v>Aucune case cochée</v>
      </c>
      <c r="N304" s="142" t="str">
        <f t="shared" ca="1" si="42"/>
        <v>Aucune case cochée</v>
      </c>
      <c r="O304" s="47">
        <v>0</v>
      </c>
      <c r="P304" s="142">
        <f t="shared" si="41"/>
        <v>0</v>
      </c>
      <c r="Q304" s="142">
        <f t="shared" ca="1" si="39"/>
        <v>3</v>
      </c>
      <c r="R304" s="142">
        <f t="shared" si="36"/>
        <v>3</v>
      </c>
      <c r="S304" s="218"/>
      <c r="T304" s="218"/>
      <c r="U304" s="219"/>
      <c r="V304" s="220"/>
      <c r="W304" s="218"/>
      <c r="X304" s="220"/>
      <c r="Y304" s="217"/>
      <c r="Z304" s="17"/>
    </row>
    <row r="305" spans="1:26" ht="32.1" customHeight="1" x14ac:dyDescent="0.2">
      <c r="A305" s="44" t="s">
        <v>739</v>
      </c>
      <c r="B305" s="44" t="s">
        <v>740</v>
      </c>
      <c r="C305" s="44" t="s">
        <v>742</v>
      </c>
      <c r="D305" s="44" t="s">
        <v>407</v>
      </c>
      <c r="E305" s="45">
        <f t="shared" si="37"/>
        <v>41</v>
      </c>
      <c r="F305" s="142" t="s">
        <v>656</v>
      </c>
      <c r="G305" s="142" t="s">
        <v>650</v>
      </c>
      <c r="H305" s="142" t="s">
        <v>650</v>
      </c>
      <c r="I305" s="142" t="s">
        <v>650</v>
      </c>
      <c r="J305" s="142" t="s">
        <v>650</v>
      </c>
      <c r="K305" s="142" t="s">
        <v>650</v>
      </c>
      <c r="L305" s="142">
        <v>1</v>
      </c>
      <c r="M305" s="142" t="str">
        <f t="shared" ca="1" si="38"/>
        <v>Aucune case cochée</v>
      </c>
      <c r="N305" s="142" t="str">
        <f t="shared" ca="1" si="42"/>
        <v>Aucune case cochée</v>
      </c>
      <c r="O305" s="47">
        <v>0</v>
      </c>
      <c r="P305" s="142">
        <f t="shared" si="41"/>
        <v>0</v>
      </c>
      <c r="Q305" s="142">
        <f t="shared" ca="1" si="39"/>
        <v>3</v>
      </c>
      <c r="R305" s="142">
        <f t="shared" si="36"/>
        <v>3</v>
      </c>
      <c r="S305" s="218"/>
      <c r="T305" s="218"/>
      <c r="U305" s="219"/>
      <c r="V305" s="220"/>
      <c r="W305" s="218"/>
      <c r="X305" s="220"/>
      <c r="Y305" s="217"/>
      <c r="Z305" s="17"/>
    </row>
    <row r="306" spans="1:26" ht="32.1" customHeight="1" x14ac:dyDescent="0.2">
      <c r="A306" s="44" t="s">
        <v>739</v>
      </c>
      <c r="B306" s="44" t="s">
        <v>740</v>
      </c>
      <c r="C306" s="44" t="s">
        <v>743</v>
      </c>
      <c r="D306" s="44" t="s">
        <v>409</v>
      </c>
      <c r="E306" s="45">
        <f t="shared" si="37"/>
        <v>44</v>
      </c>
      <c r="F306" s="142" t="s">
        <v>649</v>
      </c>
      <c r="G306" s="142" t="s">
        <v>650</v>
      </c>
      <c r="H306" s="142" t="s">
        <v>650</v>
      </c>
      <c r="I306" s="142" t="s">
        <v>650</v>
      </c>
      <c r="J306" s="142" t="s">
        <v>650</v>
      </c>
      <c r="K306" s="142" t="s">
        <v>650</v>
      </c>
      <c r="L306" s="142">
        <v>2</v>
      </c>
      <c r="M306" s="142" t="str">
        <f t="shared" ca="1" si="38"/>
        <v>Aucune case cochée</v>
      </c>
      <c r="N306" s="142" t="str">
        <f t="shared" ca="1" si="42"/>
        <v>Aucune case cochée</v>
      </c>
      <c r="O306" s="47">
        <v>1</v>
      </c>
      <c r="P306" s="142">
        <f t="shared" si="41"/>
        <v>2</v>
      </c>
      <c r="Q306" s="142">
        <f t="shared" ca="1" si="39"/>
        <v>2</v>
      </c>
      <c r="R306" s="142">
        <f t="shared" si="36"/>
        <v>2</v>
      </c>
      <c r="S306" s="218">
        <f ca="1">SUM(P306:P314)</f>
        <v>11</v>
      </c>
      <c r="T306" s="218">
        <f>SUM(R306:R314)</f>
        <v>20</v>
      </c>
      <c r="U306" s="219">
        <f ca="1">+S306/T306</f>
        <v>0.55000000000000004</v>
      </c>
      <c r="V306" s="220">
        <v>0.05</v>
      </c>
      <c r="W306" s="218"/>
      <c r="X306" s="220"/>
      <c r="Y306" s="217"/>
      <c r="Z306" s="17"/>
    </row>
    <row r="307" spans="1:26" ht="32.1" customHeight="1" x14ac:dyDescent="0.2">
      <c r="A307" s="44" t="s">
        <v>739</v>
      </c>
      <c r="B307" s="44" t="s">
        <v>740</v>
      </c>
      <c r="C307" s="44" t="s">
        <v>743</v>
      </c>
      <c r="D307" s="44" t="s">
        <v>410</v>
      </c>
      <c r="E307" s="45">
        <f t="shared" si="37"/>
        <v>46</v>
      </c>
      <c r="F307" s="142" t="s">
        <v>649</v>
      </c>
      <c r="G307" s="142" t="s">
        <v>650</v>
      </c>
      <c r="H307" s="142" t="s">
        <v>650</v>
      </c>
      <c r="I307" s="142" t="s">
        <v>650</v>
      </c>
      <c r="J307" s="142" t="s">
        <v>650</v>
      </c>
      <c r="K307" s="142" t="s">
        <v>651</v>
      </c>
      <c r="L307" s="142">
        <v>2</v>
      </c>
      <c r="M307" s="142" t="str">
        <f t="shared" ca="1" si="38"/>
        <v>Aucune case cochée</v>
      </c>
      <c r="N307" s="142" t="str">
        <f t="shared" ca="1" si="42"/>
        <v>Aucune case cochée</v>
      </c>
      <c r="O307" s="47">
        <v>1</v>
      </c>
      <c r="P307" s="142">
        <f t="shared" si="41"/>
        <v>2</v>
      </c>
      <c r="Q307" s="142">
        <f t="shared" ca="1" si="39"/>
        <v>2</v>
      </c>
      <c r="R307" s="142">
        <f t="shared" si="36"/>
        <v>2</v>
      </c>
      <c r="S307" s="218"/>
      <c r="T307" s="218"/>
      <c r="U307" s="219"/>
      <c r="V307" s="220"/>
      <c r="W307" s="218"/>
      <c r="X307" s="220"/>
      <c r="Y307" s="217"/>
      <c r="Z307" s="17"/>
    </row>
    <row r="308" spans="1:26" ht="32.1" customHeight="1" x14ac:dyDescent="0.2">
      <c r="A308" s="44" t="s">
        <v>739</v>
      </c>
      <c r="B308" s="44" t="s">
        <v>740</v>
      </c>
      <c r="C308" s="44" t="s">
        <v>743</v>
      </c>
      <c r="D308" s="44" t="s">
        <v>411</v>
      </c>
      <c r="E308" s="45">
        <f t="shared" si="37"/>
        <v>48</v>
      </c>
      <c r="F308" s="142" t="s">
        <v>649</v>
      </c>
      <c r="G308" s="142" t="s">
        <v>650</v>
      </c>
      <c r="H308" s="142" t="s">
        <v>650</v>
      </c>
      <c r="I308" s="142" t="s">
        <v>650</v>
      </c>
      <c r="J308" s="142" t="s">
        <v>650</v>
      </c>
      <c r="K308" s="142" t="s">
        <v>650</v>
      </c>
      <c r="L308" s="142">
        <v>2</v>
      </c>
      <c r="M308" s="142" t="str">
        <f t="shared" ca="1" si="38"/>
        <v>Aucune case cochée</v>
      </c>
      <c r="N308" s="142" t="str">
        <f t="shared" ca="1" si="42"/>
        <v>Aucune case cochée</v>
      </c>
      <c r="O308" s="47">
        <v>1</v>
      </c>
      <c r="P308" s="142">
        <f t="shared" si="41"/>
        <v>2</v>
      </c>
      <c r="Q308" s="142">
        <f t="shared" ca="1" si="39"/>
        <v>2</v>
      </c>
      <c r="R308" s="142">
        <f t="shared" si="36"/>
        <v>2</v>
      </c>
      <c r="S308" s="218"/>
      <c r="T308" s="218"/>
      <c r="U308" s="219"/>
      <c r="V308" s="220"/>
      <c r="W308" s="218"/>
      <c r="X308" s="220"/>
      <c r="Y308" s="217"/>
      <c r="Z308" s="17"/>
    </row>
    <row r="309" spans="1:26" ht="32.1" customHeight="1" x14ac:dyDescent="0.2">
      <c r="A309" s="44" t="s">
        <v>739</v>
      </c>
      <c r="B309" s="44" t="s">
        <v>740</v>
      </c>
      <c r="C309" s="44" t="s">
        <v>743</v>
      </c>
      <c r="D309" s="44" t="s">
        <v>412</v>
      </c>
      <c r="E309" s="45">
        <f t="shared" si="37"/>
        <v>50</v>
      </c>
      <c r="F309" s="142" t="s">
        <v>649</v>
      </c>
      <c r="G309" s="142" t="s">
        <v>650</v>
      </c>
      <c r="H309" s="142" t="s">
        <v>650</v>
      </c>
      <c r="I309" s="142" t="s">
        <v>650</v>
      </c>
      <c r="J309" s="142" t="s">
        <v>650</v>
      </c>
      <c r="K309" s="142" t="s">
        <v>650</v>
      </c>
      <c r="L309" s="142">
        <v>1</v>
      </c>
      <c r="M309" s="142" t="str">
        <f t="shared" ca="1" si="38"/>
        <v>Aucune case cochée</v>
      </c>
      <c r="N309" s="142" t="str">
        <f t="shared" ca="1" si="42"/>
        <v>Aucune case cochée</v>
      </c>
      <c r="O309" s="47">
        <v>1</v>
      </c>
      <c r="P309" s="142">
        <f t="shared" si="41"/>
        <v>1</v>
      </c>
      <c r="Q309" s="142">
        <f t="shared" ca="1" si="39"/>
        <v>1</v>
      </c>
      <c r="R309" s="142">
        <f t="shared" si="36"/>
        <v>1</v>
      </c>
      <c r="S309" s="218"/>
      <c r="T309" s="218"/>
      <c r="U309" s="219"/>
      <c r="V309" s="220"/>
      <c r="W309" s="218"/>
      <c r="X309" s="220"/>
      <c r="Y309" s="217"/>
      <c r="Z309" s="17"/>
    </row>
    <row r="310" spans="1:26" ht="32.1" customHeight="1" x14ac:dyDescent="0.2">
      <c r="A310" s="44" t="s">
        <v>739</v>
      </c>
      <c r="B310" s="44" t="s">
        <v>740</v>
      </c>
      <c r="C310" s="44" t="s">
        <v>743</v>
      </c>
      <c r="D310" s="48" t="s">
        <v>744</v>
      </c>
      <c r="E310" s="45">
        <f t="shared" si="37"/>
        <v>52</v>
      </c>
      <c r="F310" s="142" t="s">
        <v>649</v>
      </c>
      <c r="G310" s="142" t="s">
        <v>650</v>
      </c>
      <c r="H310" s="142" t="s">
        <v>650</v>
      </c>
      <c r="I310" s="142" t="s">
        <v>650</v>
      </c>
      <c r="J310" s="142" t="s">
        <v>650</v>
      </c>
      <c r="K310" s="142" t="s">
        <v>650</v>
      </c>
      <c r="L310" s="142">
        <v>1</v>
      </c>
      <c r="M310" s="142" t="str">
        <f t="shared" ca="1" si="38"/>
        <v>Aucune case cochée</v>
      </c>
      <c r="N310" s="146" t="str">
        <f ca="1">IF(M310="Aucune case cochée",M310,IF(M310&lt;&gt;"4CB+2CP",0))</f>
        <v>Aucune case cochée</v>
      </c>
      <c r="O310" s="47" t="s">
        <v>418</v>
      </c>
      <c r="P310" s="142">
        <f ca="1">IF(M310="4CB+2CP",3,IF(M310="3CB+2CP",2,IF(M310="3CB",1,0)))</f>
        <v>0</v>
      </c>
      <c r="Q310" s="142">
        <f t="shared" ca="1" si="39"/>
        <v>3</v>
      </c>
      <c r="R310" s="142">
        <v>3</v>
      </c>
      <c r="S310" s="218"/>
      <c r="T310" s="218"/>
      <c r="U310" s="219"/>
      <c r="V310" s="220"/>
      <c r="W310" s="218"/>
      <c r="X310" s="220"/>
      <c r="Y310" s="217"/>
      <c r="Z310" s="17"/>
    </row>
    <row r="311" spans="1:26" ht="32.1" customHeight="1" x14ac:dyDescent="0.2">
      <c r="A311" s="44" t="s">
        <v>739</v>
      </c>
      <c r="B311" s="44" t="s">
        <v>740</v>
      </c>
      <c r="C311" s="44" t="s">
        <v>743</v>
      </c>
      <c r="D311" s="44" t="s">
        <v>419</v>
      </c>
      <c r="E311" s="45">
        <f t="shared" si="37"/>
        <v>54</v>
      </c>
      <c r="F311" s="142" t="s">
        <v>649</v>
      </c>
      <c r="G311" s="142" t="s">
        <v>650</v>
      </c>
      <c r="H311" s="142" t="s">
        <v>650</v>
      </c>
      <c r="I311" s="142" t="s">
        <v>650</v>
      </c>
      <c r="J311" s="142" t="s">
        <v>210</v>
      </c>
      <c r="K311" s="142" t="s">
        <v>210</v>
      </c>
      <c r="L311" s="142">
        <v>2</v>
      </c>
      <c r="M311" s="142" t="str">
        <f t="shared" ca="1" si="38"/>
        <v>Aucune case cochée</v>
      </c>
      <c r="N311" s="142" t="str">
        <f ca="1">IF(M311="Aucune case cochée",M311,IF(M311="NC","Non concerné",IF(M311="Oui",1*L311,IF(M311="Non",0,L311*M311))))</f>
        <v>Aucune case cochée</v>
      </c>
      <c r="O311" s="47">
        <v>1</v>
      </c>
      <c r="P311" s="142">
        <f t="shared" ref="P311:P342" si="43">IF(O311="Non concerné",O311,O311*L311)</f>
        <v>2</v>
      </c>
      <c r="Q311" s="142">
        <f t="shared" ca="1" si="39"/>
        <v>2</v>
      </c>
      <c r="R311" s="142">
        <f t="shared" si="36"/>
        <v>2</v>
      </c>
      <c r="S311" s="218"/>
      <c r="T311" s="218"/>
      <c r="U311" s="219"/>
      <c r="V311" s="220"/>
      <c r="W311" s="218"/>
      <c r="X311" s="220"/>
      <c r="Y311" s="217"/>
      <c r="Z311" s="17"/>
    </row>
    <row r="312" spans="1:26" ht="32.1" customHeight="1" x14ac:dyDescent="0.2">
      <c r="A312" s="44" t="s">
        <v>739</v>
      </c>
      <c r="B312" s="44" t="s">
        <v>740</v>
      </c>
      <c r="C312" s="44" t="s">
        <v>743</v>
      </c>
      <c r="D312" s="44" t="s">
        <v>420</v>
      </c>
      <c r="E312" s="45">
        <f t="shared" si="37"/>
        <v>56</v>
      </c>
      <c r="F312" s="142" t="s">
        <v>649</v>
      </c>
      <c r="G312" s="142" t="s">
        <v>650</v>
      </c>
      <c r="H312" s="142" t="s">
        <v>650</v>
      </c>
      <c r="I312" s="142" t="s">
        <v>651</v>
      </c>
      <c r="J312" s="142" t="s">
        <v>210</v>
      </c>
      <c r="K312" s="142" t="s">
        <v>210</v>
      </c>
      <c r="L312" s="142">
        <v>2</v>
      </c>
      <c r="M312" s="142" t="str">
        <f t="shared" ca="1" si="38"/>
        <v>Aucune case cochée</v>
      </c>
      <c r="N312" s="142" t="str">
        <f t="shared" ref="N312:N375" ca="1" si="44">IF(M312="Aucune case cochée",M312,IF(M312="NC","Non concerné",IF(M312="Oui",1*L312,IF(M312="Non",0,L312*M312))))</f>
        <v>Aucune case cochée</v>
      </c>
      <c r="O312" s="47">
        <v>1</v>
      </c>
      <c r="P312" s="142">
        <f t="shared" si="43"/>
        <v>2</v>
      </c>
      <c r="Q312" s="142">
        <f t="shared" ca="1" si="39"/>
        <v>2</v>
      </c>
      <c r="R312" s="142">
        <f t="shared" si="36"/>
        <v>2</v>
      </c>
      <c r="S312" s="218"/>
      <c r="T312" s="218"/>
      <c r="U312" s="219"/>
      <c r="V312" s="220"/>
      <c r="W312" s="218"/>
      <c r="X312" s="220"/>
      <c r="Y312" s="217"/>
      <c r="Z312" s="17"/>
    </row>
    <row r="313" spans="1:26" ht="32.1" customHeight="1" x14ac:dyDescent="0.2">
      <c r="A313" s="44" t="s">
        <v>739</v>
      </c>
      <c r="B313" s="44" t="s">
        <v>740</v>
      </c>
      <c r="C313" s="44" t="s">
        <v>743</v>
      </c>
      <c r="D313" s="44" t="s">
        <v>421</v>
      </c>
      <c r="E313" s="45">
        <f t="shared" si="37"/>
        <v>58</v>
      </c>
      <c r="F313" s="142" t="s">
        <v>656</v>
      </c>
      <c r="G313" s="142" t="s">
        <v>650</v>
      </c>
      <c r="H313" s="142" t="s">
        <v>650</v>
      </c>
      <c r="I313" s="142" t="s">
        <v>650</v>
      </c>
      <c r="J313" s="142" t="s">
        <v>650</v>
      </c>
      <c r="K313" s="142" t="s">
        <v>650</v>
      </c>
      <c r="L313" s="142">
        <v>1</v>
      </c>
      <c r="M313" s="142" t="str">
        <f t="shared" ca="1" si="38"/>
        <v>Aucune case cochée</v>
      </c>
      <c r="N313" s="142" t="str">
        <f t="shared" ca="1" si="44"/>
        <v>Aucune case cochée</v>
      </c>
      <c r="O313" s="47">
        <v>0</v>
      </c>
      <c r="P313" s="142">
        <f t="shared" si="43"/>
        <v>0</v>
      </c>
      <c r="Q313" s="142">
        <f t="shared" ca="1" si="39"/>
        <v>3</v>
      </c>
      <c r="R313" s="142">
        <f t="shared" si="36"/>
        <v>3</v>
      </c>
      <c r="S313" s="218"/>
      <c r="T313" s="218"/>
      <c r="U313" s="219"/>
      <c r="V313" s="220"/>
      <c r="W313" s="218"/>
      <c r="X313" s="220"/>
      <c r="Y313" s="217"/>
      <c r="Z313" s="17"/>
    </row>
    <row r="314" spans="1:26" ht="32.1" customHeight="1" x14ac:dyDescent="0.2">
      <c r="A314" s="44" t="s">
        <v>739</v>
      </c>
      <c r="B314" s="44" t="s">
        <v>740</v>
      </c>
      <c r="C314" s="44" t="s">
        <v>743</v>
      </c>
      <c r="D314" s="44" t="s">
        <v>422</v>
      </c>
      <c r="E314" s="45">
        <f t="shared" si="37"/>
        <v>60</v>
      </c>
      <c r="F314" s="142" t="s">
        <v>656</v>
      </c>
      <c r="G314" s="142" t="s">
        <v>650</v>
      </c>
      <c r="H314" s="142" t="s">
        <v>650</v>
      </c>
      <c r="I314" s="142" t="s">
        <v>650</v>
      </c>
      <c r="J314" s="142" t="s">
        <v>650</v>
      </c>
      <c r="K314" s="142" t="s">
        <v>650</v>
      </c>
      <c r="L314" s="142">
        <v>1</v>
      </c>
      <c r="M314" s="142" t="str">
        <f t="shared" ca="1" si="38"/>
        <v>Aucune case cochée</v>
      </c>
      <c r="N314" s="142" t="str">
        <f t="shared" ca="1" si="44"/>
        <v>Aucune case cochée</v>
      </c>
      <c r="O314" s="47">
        <v>0</v>
      </c>
      <c r="P314" s="142">
        <f t="shared" si="43"/>
        <v>0</v>
      </c>
      <c r="Q314" s="142">
        <f t="shared" ca="1" si="39"/>
        <v>3</v>
      </c>
      <c r="R314" s="142">
        <f t="shared" ref="R314:R377" si="45">IF(O314="Non concerné",O314,IF(F314="Binaire",1,3)*L314)</f>
        <v>3</v>
      </c>
      <c r="S314" s="218"/>
      <c r="T314" s="218"/>
      <c r="U314" s="219"/>
      <c r="V314" s="220"/>
      <c r="W314" s="218"/>
      <c r="X314" s="220"/>
      <c r="Y314" s="217"/>
      <c r="Z314" s="17"/>
    </row>
    <row r="315" spans="1:26" ht="32.1" customHeight="1" x14ac:dyDescent="0.2">
      <c r="A315" s="44" t="s">
        <v>739</v>
      </c>
      <c r="B315" s="44" t="s">
        <v>745</v>
      </c>
      <c r="C315" s="44" t="s">
        <v>746</v>
      </c>
      <c r="D315" s="44" t="s">
        <v>425</v>
      </c>
      <c r="E315" s="45">
        <f t="shared" si="37"/>
        <v>10</v>
      </c>
      <c r="F315" s="142" t="s">
        <v>649</v>
      </c>
      <c r="G315" s="142" t="s">
        <v>650</v>
      </c>
      <c r="H315" s="142" t="s">
        <v>650</v>
      </c>
      <c r="I315" s="142" t="s">
        <v>650</v>
      </c>
      <c r="J315" s="142" t="s">
        <v>650</v>
      </c>
      <c r="K315" s="142" t="s">
        <v>650</v>
      </c>
      <c r="L315" s="142">
        <v>2</v>
      </c>
      <c r="M315" s="142" t="str">
        <f t="shared" ca="1" si="38"/>
        <v>Aucune case cochée</v>
      </c>
      <c r="N315" s="142" t="str">
        <f t="shared" ca="1" si="44"/>
        <v>Aucune case cochée</v>
      </c>
      <c r="O315" s="47">
        <v>1</v>
      </c>
      <c r="P315" s="142">
        <f t="shared" si="43"/>
        <v>2</v>
      </c>
      <c r="Q315" s="142">
        <f t="shared" ca="1" si="39"/>
        <v>2</v>
      </c>
      <c r="R315" s="142">
        <f t="shared" si="45"/>
        <v>2</v>
      </c>
      <c r="S315" s="218">
        <f>SUM(P315:P327)</f>
        <v>21</v>
      </c>
      <c r="T315" s="218">
        <f>SUM(R315:R327)</f>
        <v>27</v>
      </c>
      <c r="U315" s="219">
        <f>+S315/T315</f>
        <v>0.77777777777777779</v>
      </c>
      <c r="V315" s="220">
        <v>0.2</v>
      </c>
      <c r="W315" s="218"/>
      <c r="X315" s="220"/>
      <c r="Y315" s="217"/>
      <c r="Z315" s="17"/>
    </row>
    <row r="316" spans="1:26" ht="32.1" customHeight="1" x14ac:dyDescent="0.2">
      <c r="A316" s="44" t="s">
        <v>739</v>
      </c>
      <c r="B316" s="44" t="s">
        <v>745</v>
      </c>
      <c r="C316" s="44" t="s">
        <v>746</v>
      </c>
      <c r="D316" s="44" t="s">
        <v>426</v>
      </c>
      <c r="E316" s="45">
        <f t="shared" si="37"/>
        <v>12</v>
      </c>
      <c r="F316" s="142" t="s">
        <v>649</v>
      </c>
      <c r="G316" s="142" t="s">
        <v>650</v>
      </c>
      <c r="H316" s="142" t="s">
        <v>650</v>
      </c>
      <c r="I316" s="142" t="s">
        <v>650</v>
      </c>
      <c r="J316" s="142" t="s">
        <v>650</v>
      </c>
      <c r="K316" s="142" t="s">
        <v>650</v>
      </c>
      <c r="L316" s="142">
        <v>2</v>
      </c>
      <c r="M316" s="142" t="str">
        <f t="shared" ca="1" si="38"/>
        <v>Aucune case cochée</v>
      </c>
      <c r="N316" s="142" t="str">
        <f t="shared" ca="1" si="44"/>
        <v>Aucune case cochée</v>
      </c>
      <c r="O316" s="47">
        <v>1</v>
      </c>
      <c r="P316" s="142">
        <f t="shared" si="43"/>
        <v>2</v>
      </c>
      <c r="Q316" s="142">
        <f t="shared" ca="1" si="39"/>
        <v>2</v>
      </c>
      <c r="R316" s="142">
        <f t="shared" si="45"/>
        <v>2</v>
      </c>
      <c r="S316" s="218"/>
      <c r="T316" s="218"/>
      <c r="U316" s="219"/>
      <c r="V316" s="220"/>
      <c r="W316" s="218"/>
      <c r="X316" s="220"/>
      <c r="Y316" s="217"/>
      <c r="Z316" s="17"/>
    </row>
    <row r="317" spans="1:26" ht="32.1" customHeight="1" x14ac:dyDescent="0.2">
      <c r="A317" s="44" t="s">
        <v>739</v>
      </c>
      <c r="B317" s="44" t="s">
        <v>745</v>
      </c>
      <c r="C317" s="44" t="s">
        <v>746</v>
      </c>
      <c r="D317" s="44" t="s">
        <v>427</v>
      </c>
      <c r="E317" s="45">
        <f t="shared" si="37"/>
        <v>14</v>
      </c>
      <c r="F317" s="142" t="s">
        <v>649</v>
      </c>
      <c r="G317" s="142" t="s">
        <v>650</v>
      </c>
      <c r="H317" s="142" t="s">
        <v>650</v>
      </c>
      <c r="I317" s="142" t="s">
        <v>650</v>
      </c>
      <c r="J317" s="142" t="s">
        <v>650</v>
      </c>
      <c r="K317" s="142" t="s">
        <v>650</v>
      </c>
      <c r="L317" s="142">
        <v>1</v>
      </c>
      <c r="M317" s="142" t="str">
        <f t="shared" ca="1" si="38"/>
        <v>Aucune case cochée</v>
      </c>
      <c r="N317" s="142" t="str">
        <f t="shared" ca="1" si="44"/>
        <v>Aucune case cochée</v>
      </c>
      <c r="O317" s="47">
        <v>1</v>
      </c>
      <c r="P317" s="142">
        <f t="shared" si="43"/>
        <v>1</v>
      </c>
      <c r="Q317" s="142">
        <f t="shared" ca="1" si="39"/>
        <v>1</v>
      </c>
      <c r="R317" s="142">
        <f t="shared" si="45"/>
        <v>1</v>
      </c>
      <c r="S317" s="218"/>
      <c r="T317" s="218"/>
      <c r="U317" s="219"/>
      <c r="V317" s="220"/>
      <c r="W317" s="218"/>
      <c r="X317" s="220"/>
      <c r="Y317" s="217"/>
      <c r="Z317" s="17"/>
    </row>
    <row r="318" spans="1:26" ht="32.1" customHeight="1" x14ac:dyDescent="0.2">
      <c r="A318" s="44" t="s">
        <v>739</v>
      </c>
      <c r="B318" s="44" t="s">
        <v>745</v>
      </c>
      <c r="C318" s="44" t="s">
        <v>746</v>
      </c>
      <c r="D318" s="44" t="s">
        <v>428</v>
      </c>
      <c r="E318" s="45">
        <f t="shared" si="37"/>
        <v>16</v>
      </c>
      <c r="F318" s="142" t="s">
        <v>649</v>
      </c>
      <c r="G318" s="142" t="s">
        <v>650</v>
      </c>
      <c r="H318" s="142" t="s">
        <v>650</v>
      </c>
      <c r="I318" s="142" t="s">
        <v>650</v>
      </c>
      <c r="J318" s="142" t="s">
        <v>650</v>
      </c>
      <c r="K318" s="142" t="s">
        <v>650</v>
      </c>
      <c r="L318" s="142">
        <v>2</v>
      </c>
      <c r="M318" s="142" t="str">
        <f t="shared" ca="1" si="38"/>
        <v>Aucune case cochée</v>
      </c>
      <c r="N318" s="142" t="str">
        <f t="shared" ca="1" si="44"/>
        <v>Aucune case cochée</v>
      </c>
      <c r="O318" s="47">
        <v>1</v>
      </c>
      <c r="P318" s="142">
        <f t="shared" si="43"/>
        <v>2</v>
      </c>
      <c r="Q318" s="142">
        <f t="shared" ca="1" si="39"/>
        <v>2</v>
      </c>
      <c r="R318" s="142">
        <f t="shared" si="45"/>
        <v>2</v>
      </c>
      <c r="S318" s="218"/>
      <c r="T318" s="218"/>
      <c r="U318" s="219"/>
      <c r="V318" s="220"/>
      <c r="W318" s="218"/>
      <c r="X318" s="220"/>
      <c r="Y318" s="217"/>
      <c r="Z318" s="17"/>
    </row>
    <row r="319" spans="1:26" ht="32.1" customHeight="1" x14ac:dyDescent="0.2">
      <c r="A319" s="44" t="s">
        <v>739</v>
      </c>
      <c r="B319" s="44" t="s">
        <v>745</v>
      </c>
      <c r="C319" s="44" t="s">
        <v>746</v>
      </c>
      <c r="D319" s="44" t="s">
        <v>429</v>
      </c>
      <c r="E319" s="45">
        <f t="shared" si="37"/>
        <v>18</v>
      </c>
      <c r="F319" s="142" t="s">
        <v>649</v>
      </c>
      <c r="G319" s="142" t="s">
        <v>650</v>
      </c>
      <c r="H319" s="142" t="s">
        <v>650</v>
      </c>
      <c r="I319" s="142" t="s">
        <v>650</v>
      </c>
      <c r="J319" s="142" t="s">
        <v>651</v>
      </c>
      <c r="K319" s="142" t="s">
        <v>210</v>
      </c>
      <c r="L319" s="142">
        <v>2</v>
      </c>
      <c r="M319" s="142" t="str">
        <f t="shared" ca="1" si="38"/>
        <v>Aucune case cochée</v>
      </c>
      <c r="N319" s="142" t="str">
        <f t="shared" ca="1" si="44"/>
        <v>Aucune case cochée</v>
      </c>
      <c r="O319" s="47">
        <v>1</v>
      </c>
      <c r="P319" s="142">
        <f t="shared" si="43"/>
        <v>2</v>
      </c>
      <c r="Q319" s="142">
        <f t="shared" ca="1" si="39"/>
        <v>2</v>
      </c>
      <c r="R319" s="142">
        <f t="shared" si="45"/>
        <v>2</v>
      </c>
      <c r="S319" s="218"/>
      <c r="T319" s="218"/>
      <c r="U319" s="219"/>
      <c r="V319" s="220"/>
      <c r="W319" s="218"/>
      <c r="X319" s="220"/>
      <c r="Y319" s="217"/>
      <c r="Z319" s="17"/>
    </row>
    <row r="320" spans="1:26" ht="32.1" customHeight="1" x14ac:dyDescent="0.2">
      <c r="A320" s="44" t="s">
        <v>739</v>
      </c>
      <c r="B320" s="44" t="s">
        <v>745</v>
      </c>
      <c r="C320" s="44" t="s">
        <v>746</v>
      </c>
      <c r="D320" s="44" t="s">
        <v>430</v>
      </c>
      <c r="E320" s="45">
        <f t="shared" si="37"/>
        <v>20</v>
      </c>
      <c r="F320" s="142" t="s">
        <v>649</v>
      </c>
      <c r="G320" s="142" t="s">
        <v>650</v>
      </c>
      <c r="H320" s="142" t="s">
        <v>650</v>
      </c>
      <c r="I320" s="142" t="s">
        <v>650</v>
      </c>
      <c r="J320" s="142" t="s">
        <v>650</v>
      </c>
      <c r="K320" s="142" t="s">
        <v>650</v>
      </c>
      <c r="L320" s="142">
        <v>2</v>
      </c>
      <c r="M320" s="142" t="str">
        <f t="shared" ca="1" si="38"/>
        <v>Aucune case cochée</v>
      </c>
      <c r="N320" s="142" t="str">
        <f t="shared" ca="1" si="44"/>
        <v>Aucune case cochée</v>
      </c>
      <c r="O320" s="47">
        <v>1</v>
      </c>
      <c r="P320" s="142">
        <f t="shared" si="43"/>
        <v>2</v>
      </c>
      <c r="Q320" s="142">
        <f t="shared" ca="1" si="39"/>
        <v>2</v>
      </c>
      <c r="R320" s="142">
        <f t="shared" si="45"/>
        <v>2</v>
      </c>
      <c r="S320" s="218"/>
      <c r="T320" s="218"/>
      <c r="U320" s="219"/>
      <c r="V320" s="220"/>
      <c r="W320" s="218"/>
      <c r="X320" s="220"/>
      <c r="Y320" s="217"/>
      <c r="Z320" s="17"/>
    </row>
    <row r="321" spans="1:26" ht="32.1" customHeight="1" x14ac:dyDescent="0.2">
      <c r="A321" s="44" t="s">
        <v>739</v>
      </c>
      <c r="B321" s="44" t="s">
        <v>745</v>
      </c>
      <c r="C321" s="44" t="s">
        <v>746</v>
      </c>
      <c r="D321" s="44" t="s">
        <v>431</v>
      </c>
      <c r="E321" s="45">
        <f t="shared" si="37"/>
        <v>22</v>
      </c>
      <c r="F321" s="142" t="s">
        <v>649</v>
      </c>
      <c r="G321" s="142" t="s">
        <v>650</v>
      </c>
      <c r="H321" s="142" t="s">
        <v>650</v>
      </c>
      <c r="I321" s="142" t="s">
        <v>650</v>
      </c>
      <c r="J321" s="142" t="s">
        <v>650</v>
      </c>
      <c r="K321" s="142" t="s">
        <v>650</v>
      </c>
      <c r="L321" s="142">
        <v>2</v>
      </c>
      <c r="M321" s="142" t="str">
        <f t="shared" ca="1" si="38"/>
        <v>Aucune case cochée</v>
      </c>
      <c r="N321" s="142" t="str">
        <f t="shared" ca="1" si="44"/>
        <v>Aucune case cochée</v>
      </c>
      <c r="O321" s="47">
        <v>1</v>
      </c>
      <c r="P321" s="142">
        <f t="shared" si="43"/>
        <v>2</v>
      </c>
      <c r="Q321" s="142">
        <f t="shared" ca="1" si="39"/>
        <v>2</v>
      </c>
      <c r="R321" s="142">
        <f t="shared" si="45"/>
        <v>2</v>
      </c>
      <c r="S321" s="218"/>
      <c r="T321" s="218"/>
      <c r="U321" s="219"/>
      <c r="V321" s="220"/>
      <c r="W321" s="218"/>
      <c r="X321" s="220"/>
      <c r="Y321" s="217"/>
      <c r="Z321" s="17"/>
    </row>
    <row r="322" spans="1:26" ht="32.1" customHeight="1" x14ac:dyDescent="0.2">
      <c r="A322" s="44" t="s">
        <v>739</v>
      </c>
      <c r="B322" s="44" t="s">
        <v>745</v>
      </c>
      <c r="C322" s="44" t="s">
        <v>746</v>
      </c>
      <c r="D322" s="44" t="s">
        <v>432</v>
      </c>
      <c r="E322" s="45">
        <f t="shared" ref="E322:E385" si="46">IF(B322&lt;&gt;B321,10,IF(C322&lt;&gt;C321,E321+3,E321+2))</f>
        <v>24</v>
      </c>
      <c r="F322" s="142" t="s">
        <v>649</v>
      </c>
      <c r="G322" s="142" t="s">
        <v>650</v>
      </c>
      <c r="H322" s="142" t="s">
        <v>650</v>
      </c>
      <c r="I322" s="142" t="s">
        <v>650</v>
      </c>
      <c r="J322" s="142" t="s">
        <v>650</v>
      </c>
      <c r="K322" s="142" t="s">
        <v>650</v>
      </c>
      <c r="L322" s="142">
        <v>2</v>
      </c>
      <c r="M322" s="142" t="str">
        <f t="shared" ca="1" si="38"/>
        <v>Aucune case cochée</v>
      </c>
      <c r="N322" s="142" t="str">
        <f t="shared" ca="1" si="44"/>
        <v>Aucune case cochée</v>
      </c>
      <c r="O322" s="47">
        <v>1</v>
      </c>
      <c r="P322" s="142">
        <f t="shared" si="43"/>
        <v>2</v>
      </c>
      <c r="Q322" s="142">
        <f t="shared" ca="1" si="39"/>
        <v>2</v>
      </c>
      <c r="R322" s="142">
        <f t="shared" si="45"/>
        <v>2</v>
      </c>
      <c r="S322" s="218"/>
      <c r="T322" s="218"/>
      <c r="U322" s="219"/>
      <c r="V322" s="220"/>
      <c r="W322" s="218"/>
      <c r="X322" s="220"/>
      <c r="Y322" s="217"/>
      <c r="Z322" s="17"/>
    </row>
    <row r="323" spans="1:26" ht="32.1" customHeight="1" x14ac:dyDescent="0.2">
      <c r="A323" s="44" t="s">
        <v>739</v>
      </c>
      <c r="B323" s="44" t="s">
        <v>745</v>
      </c>
      <c r="C323" s="44" t="s">
        <v>746</v>
      </c>
      <c r="D323" s="44" t="s">
        <v>433</v>
      </c>
      <c r="E323" s="45">
        <f t="shared" si="46"/>
        <v>26</v>
      </c>
      <c r="F323" s="142" t="s">
        <v>649</v>
      </c>
      <c r="G323" s="142" t="s">
        <v>650</v>
      </c>
      <c r="H323" s="142" t="s">
        <v>650</v>
      </c>
      <c r="I323" s="142" t="s">
        <v>651</v>
      </c>
      <c r="J323" s="142" t="s">
        <v>651</v>
      </c>
      <c r="K323" s="142" t="s">
        <v>210</v>
      </c>
      <c r="L323" s="142">
        <v>2</v>
      </c>
      <c r="M323" s="142" t="str">
        <f t="shared" ca="1" si="38"/>
        <v>Aucune case cochée</v>
      </c>
      <c r="N323" s="142" t="str">
        <f t="shared" ca="1" si="44"/>
        <v>Aucune case cochée</v>
      </c>
      <c r="O323" s="47">
        <v>1</v>
      </c>
      <c r="P323" s="142">
        <f t="shared" si="43"/>
        <v>2</v>
      </c>
      <c r="Q323" s="142">
        <f t="shared" ca="1" si="39"/>
        <v>2</v>
      </c>
      <c r="R323" s="142">
        <f t="shared" si="45"/>
        <v>2</v>
      </c>
      <c r="S323" s="218"/>
      <c r="T323" s="218"/>
      <c r="U323" s="219"/>
      <c r="V323" s="220"/>
      <c r="W323" s="218"/>
      <c r="X323" s="220"/>
      <c r="Y323" s="217"/>
      <c r="Z323" s="17"/>
    </row>
    <row r="324" spans="1:26" ht="32.1" customHeight="1" x14ac:dyDescent="0.2">
      <c r="A324" s="44" t="s">
        <v>739</v>
      </c>
      <c r="B324" s="44" t="s">
        <v>745</v>
      </c>
      <c r="C324" s="44" t="s">
        <v>746</v>
      </c>
      <c r="D324" s="44" t="s">
        <v>434</v>
      </c>
      <c r="E324" s="45">
        <f t="shared" si="46"/>
        <v>28</v>
      </c>
      <c r="F324" s="142" t="s">
        <v>649</v>
      </c>
      <c r="G324" s="142" t="s">
        <v>650</v>
      </c>
      <c r="H324" s="142" t="s">
        <v>650</v>
      </c>
      <c r="I324" s="142" t="s">
        <v>650</v>
      </c>
      <c r="J324" s="142" t="s">
        <v>650</v>
      </c>
      <c r="K324" s="142" t="s">
        <v>650</v>
      </c>
      <c r="L324" s="142">
        <v>2</v>
      </c>
      <c r="M324" s="142" t="str">
        <f t="shared" ca="1" si="38"/>
        <v>Aucune case cochée</v>
      </c>
      <c r="N324" s="142" t="str">
        <f t="shared" ca="1" si="44"/>
        <v>Aucune case cochée</v>
      </c>
      <c r="O324" s="47">
        <v>1</v>
      </c>
      <c r="P324" s="142">
        <f t="shared" si="43"/>
        <v>2</v>
      </c>
      <c r="Q324" s="142">
        <f t="shared" ca="1" si="39"/>
        <v>2</v>
      </c>
      <c r="R324" s="142">
        <f t="shared" si="45"/>
        <v>2</v>
      </c>
      <c r="S324" s="218"/>
      <c r="T324" s="218"/>
      <c r="U324" s="219"/>
      <c r="V324" s="220"/>
      <c r="W324" s="218"/>
      <c r="X324" s="220"/>
      <c r="Y324" s="217"/>
      <c r="Z324" s="17"/>
    </row>
    <row r="325" spans="1:26" ht="32.1" customHeight="1" x14ac:dyDescent="0.2">
      <c r="A325" s="44" t="s">
        <v>739</v>
      </c>
      <c r="B325" s="44" t="s">
        <v>745</v>
      </c>
      <c r="C325" s="44" t="s">
        <v>746</v>
      </c>
      <c r="D325" s="44" t="s">
        <v>435</v>
      </c>
      <c r="E325" s="45">
        <f t="shared" si="46"/>
        <v>30</v>
      </c>
      <c r="F325" s="142" t="s">
        <v>649</v>
      </c>
      <c r="G325" s="142" t="s">
        <v>650</v>
      </c>
      <c r="H325" s="142" t="s">
        <v>650</v>
      </c>
      <c r="I325" s="142" t="s">
        <v>651</v>
      </c>
      <c r="J325" s="142" t="s">
        <v>210</v>
      </c>
      <c r="K325" s="142" t="s">
        <v>210</v>
      </c>
      <c r="L325" s="142">
        <v>2</v>
      </c>
      <c r="M325" s="142" t="str">
        <f t="shared" ref="M325:M388" ca="1" si="47">IFERROR(INDEX(INDIRECT(B325 &amp; "!G" &amp; E325 &amp; ":M" &amp; E325), 1, MATCH(TRUE, INDIRECT(B325 &amp; "!G" &amp; (E325+1) &amp; ":M" &amp; (E325+1)), 0)), "Aucune case cochée")</f>
        <v>Aucune case cochée</v>
      </c>
      <c r="N325" s="142" t="str">
        <f t="shared" ca="1" si="44"/>
        <v>Aucune case cochée</v>
      </c>
      <c r="O325" s="47">
        <v>1</v>
      </c>
      <c r="P325" s="142">
        <f t="shared" si="43"/>
        <v>2</v>
      </c>
      <c r="Q325" s="142">
        <f t="shared" ref="Q325:Q388" ca="1" si="48">IF(N325="Non concerné",N325,R325)</f>
        <v>2</v>
      </c>
      <c r="R325" s="142">
        <f t="shared" si="45"/>
        <v>2</v>
      </c>
      <c r="S325" s="218"/>
      <c r="T325" s="218"/>
      <c r="U325" s="219"/>
      <c r="V325" s="220"/>
      <c r="W325" s="218"/>
      <c r="X325" s="220"/>
      <c r="Y325" s="217"/>
      <c r="Z325" s="17"/>
    </row>
    <row r="326" spans="1:26" ht="32.1" customHeight="1" x14ac:dyDescent="0.2">
      <c r="A326" s="44" t="s">
        <v>739</v>
      </c>
      <c r="B326" s="44" t="s">
        <v>745</v>
      </c>
      <c r="C326" s="44" t="s">
        <v>746</v>
      </c>
      <c r="D326" s="44" t="s">
        <v>436</v>
      </c>
      <c r="E326" s="45">
        <f t="shared" si="46"/>
        <v>32</v>
      </c>
      <c r="F326" s="142" t="s">
        <v>656</v>
      </c>
      <c r="G326" s="142" t="s">
        <v>650</v>
      </c>
      <c r="H326" s="142" t="s">
        <v>650</v>
      </c>
      <c r="I326" s="142" t="s">
        <v>650</v>
      </c>
      <c r="J326" s="142" t="s">
        <v>650</v>
      </c>
      <c r="K326" s="142" t="s">
        <v>650</v>
      </c>
      <c r="L326" s="142">
        <v>1</v>
      </c>
      <c r="M326" s="142" t="str">
        <f t="shared" ca="1" si="47"/>
        <v>Aucune case cochée</v>
      </c>
      <c r="N326" s="142" t="str">
        <f t="shared" ca="1" si="44"/>
        <v>Aucune case cochée</v>
      </c>
      <c r="O326" s="47">
        <v>0</v>
      </c>
      <c r="P326" s="142">
        <f t="shared" si="43"/>
        <v>0</v>
      </c>
      <c r="Q326" s="142">
        <f t="shared" ca="1" si="48"/>
        <v>3</v>
      </c>
      <c r="R326" s="142">
        <f t="shared" si="45"/>
        <v>3</v>
      </c>
      <c r="S326" s="218"/>
      <c r="T326" s="218"/>
      <c r="U326" s="219"/>
      <c r="V326" s="220"/>
      <c r="W326" s="218"/>
      <c r="X326" s="220"/>
      <c r="Y326" s="217"/>
      <c r="Z326" s="17"/>
    </row>
    <row r="327" spans="1:26" ht="32.1" customHeight="1" x14ac:dyDescent="0.2">
      <c r="A327" s="44" t="s">
        <v>739</v>
      </c>
      <c r="B327" s="44" t="s">
        <v>745</v>
      </c>
      <c r="C327" s="44" t="s">
        <v>746</v>
      </c>
      <c r="D327" s="44" t="s">
        <v>437</v>
      </c>
      <c r="E327" s="45">
        <f t="shared" si="46"/>
        <v>34</v>
      </c>
      <c r="F327" s="142" t="s">
        <v>656</v>
      </c>
      <c r="G327" s="142" t="s">
        <v>650</v>
      </c>
      <c r="H327" s="142" t="s">
        <v>650</v>
      </c>
      <c r="I327" s="142" t="s">
        <v>650</v>
      </c>
      <c r="J327" s="142" t="s">
        <v>650</v>
      </c>
      <c r="K327" s="142" t="s">
        <v>650</v>
      </c>
      <c r="L327" s="142">
        <v>1</v>
      </c>
      <c r="M327" s="142" t="str">
        <f t="shared" ca="1" si="47"/>
        <v>Aucune case cochée</v>
      </c>
      <c r="N327" s="142" t="str">
        <f t="shared" ca="1" si="44"/>
        <v>Aucune case cochée</v>
      </c>
      <c r="O327" s="47">
        <v>0</v>
      </c>
      <c r="P327" s="142">
        <f t="shared" si="43"/>
        <v>0</v>
      </c>
      <c r="Q327" s="142">
        <f t="shared" ca="1" si="48"/>
        <v>3</v>
      </c>
      <c r="R327" s="142">
        <f t="shared" si="45"/>
        <v>3</v>
      </c>
      <c r="S327" s="218"/>
      <c r="T327" s="218"/>
      <c r="U327" s="219"/>
      <c r="V327" s="220"/>
      <c r="W327" s="218"/>
      <c r="X327" s="220"/>
      <c r="Y327" s="217"/>
      <c r="Z327" s="17"/>
    </row>
    <row r="328" spans="1:26" ht="32.1" customHeight="1" x14ac:dyDescent="0.2">
      <c r="A328" s="44" t="s">
        <v>739</v>
      </c>
      <c r="B328" s="44" t="s">
        <v>745</v>
      </c>
      <c r="C328" s="44" t="s">
        <v>747</v>
      </c>
      <c r="D328" s="44" t="s">
        <v>439</v>
      </c>
      <c r="E328" s="45">
        <f t="shared" si="46"/>
        <v>37</v>
      </c>
      <c r="F328" s="142" t="s">
        <v>649</v>
      </c>
      <c r="G328" s="142" t="s">
        <v>650</v>
      </c>
      <c r="H328" s="142" t="s">
        <v>650</v>
      </c>
      <c r="I328" s="142" t="s">
        <v>650</v>
      </c>
      <c r="J328" s="142" t="s">
        <v>650</v>
      </c>
      <c r="K328" s="142" t="s">
        <v>650</v>
      </c>
      <c r="L328" s="142">
        <v>2</v>
      </c>
      <c r="M328" s="142" t="str">
        <f t="shared" ca="1" si="47"/>
        <v>Aucune case cochée</v>
      </c>
      <c r="N328" s="142" t="str">
        <f t="shared" ca="1" si="44"/>
        <v>Aucune case cochée</v>
      </c>
      <c r="O328" s="47">
        <v>1</v>
      </c>
      <c r="P328" s="142">
        <f t="shared" si="43"/>
        <v>2</v>
      </c>
      <c r="Q328" s="142">
        <f t="shared" ca="1" si="48"/>
        <v>2</v>
      </c>
      <c r="R328" s="142">
        <f t="shared" si="45"/>
        <v>2</v>
      </c>
      <c r="S328" s="218">
        <f>SUM(P328:P331)</f>
        <v>4</v>
      </c>
      <c r="T328" s="218">
        <f>SUM(R328:R331)</f>
        <v>10</v>
      </c>
      <c r="U328" s="219">
        <f>+S328/T328</f>
        <v>0.4</v>
      </c>
      <c r="V328" s="220">
        <v>0.05</v>
      </c>
      <c r="W328" s="218"/>
      <c r="X328" s="220"/>
      <c r="Y328" s="217"/>
      <c r="Z328" s="17"/>
    </row>
    <row r="329" spans="1:26" ht="32.1" customHeight="1" x14ac:dyDescent="0.2">
      <c r="A329" s="44" t="s">
        <v>739</v>
      </c>
      <c r="B329" s="44" t="s">
        <v>745</v>
      </c>
      <c r="C329" s="44" t="s">
        <v>747</v>
      </c>
      <c r="D329" s="44" t="s">
        <v>440</v>
      </c>
      <c r="E329" s="45">
        <f t="shared" si="46"/>
        <v>39</v>
      </c>
      <c r="F329" s="142" t="s">
        <v>649</v>
      </c>
      <c r="G329" s="142" t="s">
        <v>650</v>
      </c>
      <c r="H329" s="142" t="s">
        <v>650</v>
      </c>
      <c r="I329" s="142" t="s">
        <v>650</v>
      </c>
      <c r="J329" s="142" t="s">
        <v>651</v>
      </c>
      <c r="K329" s="142" t="s">
        <v>651</v>
      </c>
      <c r="L329" s="142">
        <v>2</v>
      </c>
      <c r="M329" s="142" t="str">
        <f t="shared" ca="1" si="47"/>
        <v>Aucune case cochée</v>
      </c>
      <c r="N329" s="142" t="str">
        <f t="shared" ca="1" si="44"/>
        <v>Aucune case cochée</v>
      </c>
      <c r="O329" s="47">
        <v>1</v>
      </c>
      <c r="P329" s="142">
        <f t="shared" si="43"/>
        <v>2</v>
      </c>
      <c r="Q329" s="142">
        <f t="shared" ca="1" si="48"/>
        <v>2</v>
      </c>
      <c r="R329" s="142">
        <f t="shared" si="45"/>
        <v>2</v>
      </c>
      <c r="S329" s="218"/>
      <c r="T329" s="218"/>
      <c r="U329" s="219"/>
      <c r="V329" s="220"/>
      <c r="W329" s="218"/>
      <c r="X329" s="220"/>
      <c r="Y329" s="217"/>
      <c r="Z329" s="17"/>
    </row>
    <row r="330" spans="1:26" ht="32.1" customHeight="1" x14ac:dyDescent="0.2">
      <c r="A330" s="44" t="s">
        <v>739</v>
      </c>
      <c r="B330" s="44" t="s">
        <v>745</v>
      </c>
      <c r="C330" s="44" t="s">
        <v>747</v>
      </c>
      <c r="D330" s="44" t="s">
        <v>441</v>
      </c>
      <c r="E330" s="45">
        <f t="shared" si="46"/>
        <v>41</v>
      </c>
      <c r="F330" s="142" t="s">
        <v>656</v>
      </c>
      <c r="G330" s="142" t="s">
        <v>650</v>
      </c>
      <c r="H330" s="142" t="s">
        <v>650</v>
      </c>
      <c r="I330" s="142" t="s">
        <v>650</v>
      </c>
      <c r="J330" s="142" t="s">
        <v>650</v>
      </c>
      <c r="K330" s="142" t="s">
        <v>650</v>
      </c>
      <c r="L330" s="142">
        <v>1</v>
      </c>
      <c r="M330" s="142" t="str">
        <f t="shared" ca="1" si="47"/>
        <v>Aucune case cochée</v>
      </c>
      <c r="N330" s="142" t="str">
        <f t="shared" ca="1" si="44"/>
        <v>Aucune case cochée</v>
      </c>
      <c r="O330" s="47">
        <v>0</v>
      </c>
      <c r="P330" s="142">
        <f t="shared" si="43"/>
        <v>0</v>
      </c>
      <c r="Q330" s="142">
        <f t="shared" ca="1" si="48"/>
        <v>3</v>
      </c>
      <c r="R330" s="142">
        <f t="shared" si="45"/>
        <v>3</v>
      </c>
      <c r="S330" s="218"/>
      <c r="T330" s="218"/>
      <c r="U330" s="219"/>
      <c r="V330" s="220"/>
      <c r="W330" s="218"/>
      <c r="X330" s="220"/>
      <c r="Y330" s="217"/>
      <c r="Z330" s="17"/>
    </row>
    <row r="331" spans="1:26" ht="32.1" customHeight="1" x14ac:dyDescent="0.2">
      <c r="A331" s="44" t="s">
        <v>739</v>
      </c>
      <c r="B331" s="44" t="s">
        <v>745</v>
      </c>
      <c r="C331" s="44" t="s">
        <v>747</v>
      </c>
      <c r="D331" s="44" t="s">
        <v>442</v>
      </c>
      <c r="E331" s="45">
        <f t="shared" si="46"/>
        <v>43</v>
      </c>
      <c r="F331" s="142" t="s">
        <v>656</v>
      </c>
      <c r="G331" s="142" t="s">
        <v>650</v>
      </c>
      <c r="H331" s="142" t="s">
        <v>650</v>
      </c>
      <c r="I331" s="142" t="s">
        <v>650</v>
      </c>
      <c r="J331" s="142" t="s">
        <v>650</v>
      </c>
      <c r="K331" s="142" t="s">
        <v>650</v>
      </c>
      <c r="L331" s="142">
        <v>1</v>
      </c>
      <c r="M331" s="142" t="str">
        <f t="shared" ca="1" si="47"/>
        <v>Aucune case cochée</v>
      </c>
      <c r="N331" s="142" t="str">
        <f t="shared" ca="1" si="44"/>
        <v>Aucune case cochée</v>
      </c>
      <c r="O331" s="47">
        <v>0</v>
      </c>
      <c r="P331" s="142">
        <f t="shared" si="43"/>
        <v>0</v>
      </c>
      <c r="Q331" s="142">
        <f t="shared" ca="1" si="48"/>
        <v>3</v>
      </c>
      <c r="R331" s="142">
        <f t="shared" si="45"/>
        <v>3</v>
      </c>
      <c r="S331" s="218"/>
      <c r="T331" s="218"/>
      <c r="U331" s="219"/>
      <c r="V331" s="220"/>
      <c r="W331" s="218"/>
      <c r="X331" s="220"/>
      <c r="Y331" s="217"/>
      <c r="Z331" s="17"/>
    </row>
    <row r="332" spans="1:26" ht="32.1" customHeight="1" x14ac:dyDescent="0.2">
      <c r="A332" s="44" t="s">
        <v>739</v>
      </c>
      <c r="B332" s="44" t="s">
        <v>745</v>
      </c>
      <c r="C332" s="44" t="s">
        <v>748</v>
      </c>
      <c r="D332" s="44" t="s">
        <v>444</v>
      </c>
      <c r="E332" s="45">
        <f t="shared" si="46"/>
        <v>46</v>
      </c>
      <c r="F332" s="142" t="s">
        <v>649</v>
      </c>
      <c r="G332" s="142" t="s">
        <v>650</v>
      </c>
      <c r="H332" s="142" t="s">
        <v>650</v>
      </c>
      <c r="I332" s="142" t="s">
        <v>651</v>
      </c>
      <c r="J332" s="142" t="s">
        <v>210</v>
      </c>
      <c r="K332" s="142" t="s">
        <v>210</v>
      </c>
      <c r="L332" s="142">
        <v>2</v>
      </c>
      <c r="M332" s="142" t="str">
        <f t="shared" ca="1" si="47"/>
        <v>Aucune case cochée</v>
      </c>
      <c r="N332" s="142" t="str">
        <f t="shared" ca="1" si="44"/>
        <v>Aucune case cochée</v>
      </c>
      <c r="O332" s="47">
        <v>1</v>
      </c>
      <c r="P332" s="142">
        <f t="shared" si="43"/>
        <v>2</v>
      </c>
      <c r="Q332" s="142">
        <f t="shared" ca="1" si="48"/>
        <v>2</v>
      </c>
      <c r="R332" s="142">
        <f t="shared" si="45"/>
        <v>2</v>
      </c>
      <c r="S332" s="218">
        <f>SUM(P332:P340)</f>
        <v>14</v>
      </c>
      <c r="T332" s="218">
        <f>SUM(R332:R340)</f>
        <v>20</v>
      </c>
      <c r="U332" s="219">
        <f>+S332/T332</f>
        <v>0.7</v>
      </c>
      <c r="V332" s="220">
        <v>0.2</v>
      </c>
      <c r="W332" s="218"/>
      <c r="X332" s="220"/>
      <c r="Y332" s="217"/>
      <c r="Z332" s="17"/>
    </row>
    <row r="333" spans="1:26" ht="32.1" customHeight="1" x14ac:dyDescent="0.2">
      <c r="A333" s="44" t="s">
        <v>739</v>
      </c>
      <c r="B333" s="44" t="s">
        <v>745</v>
      </c>
      <c r="C333" s="44" t="s">
        <v>748</v>
      </c>
      <c r="D333" s="44" t="s">
        <v>445</v>
      </c>
      <c r="E333" s="45">
        <f t="shared" si="46"/>
        <v>48</v>
      </c>
      <c r="F333" s="142" t="s">
        <v>649</v>
      </c>
      <c r="G333" s="142" t="s">
        <v>650</v>
      </c>
      <c r="H333" s="142" t="s">
        <v>650</v>
      </c>
      <c r="I333" s="142" t="s">
        <v>650</v>
      </c>
      <c r="J333" s="142" t="s">
        <v>650</v>
      </c>
      <c r="K333" s="142" t="s">
        <v>651</v>
      </c>
      <c r="L333" s="142">
        <v>2</v>
      </c>
      <c r="M333" s="142" t="str">
        <f t="shared" ca="1" si="47"/>
        <v>Aucune case cochée</v>
      </c>
      <c r="N333" s="142" t="str">
        <f t="shared" ca="1" si="44"/>
        <v>Aucune case cochée</v>
      </c>
      <c r="O333" s="47">
        <v>1</v>
      </c>
      <c r="P333" s="142">
        <f t="shared" si="43"/>
        <v>2</v>
      </c>
      <c r="Q333" s="142">
        <f t="shared" ca="1" si="48"/>
        <v>2</v>
      </c>
      <c r="R333" s="142">
        <f t="shared" si="45"/>
        <v>2</v>
      </c>
      <c r="S333" s="218"/>
      <c r="T333" s="218"/>
      <c r="U333" s="219"/>
      <c r="V333" s="220"/>
      <c r="W333" s="218"/>
      <c r="X333" s="220"/>
      <c r="Y333" s="217"/>
      <c r="Z333" s="17"/>
    </row>
    <row r="334" spans="1:26" ht="32.1" customHeight="1" x14ac:dyDescent="0.2">
      <c r="A334" s="44" t="s">
        <v>739</v>
      </c>
      <c r="B334" s="44" t="s">
        <v>745</v>
      </c>
      <c r="C334" s="44" t="s">
        <v>748</v>
      </c>
      <c r="D334" s="44" t="s">
        <v>446</v>
      </c>
      <c r="E334" s="45">
        <f t="shared" si="46"/>
        <v>50</v>
      </c>
      <c r="F334" s="142" t="s">
        <v>649</v>
      </c>
      <c r="G334" s="142" t="s">
        <v>650</v>
      </c>
      <c r="H334" s="142" t="s">
        <v>650</v>
      </c>
      <c r="I334" s="142" t="s">
        <v>650</v>
      </c>
      <c r="J334" s="142" t="s">
        <v>651</v>
      </c>
      <c r="K334" s="142" t="s">
        <v>651</v>
      </c>
      <c r="L334" s="142">
        <v>2</v>
      </c>
      <c r="M334" s="142" t="str">
        <f t="shared" ca="1" si="47"/>
        <v>Aucune case cochée</v>
      </c>
      <c r="N334" s="142" t="str">
        <f t="shared" ca="1" si="44"/>
        <v>Aucune case cochée</v>
      </c>
      <c r="O334" s="47">
        <v>1</v>
      </c>
      <c r="P334" s="142">
        <f t="shared" si="43"/>
        <v>2</v>
      </c>
      <c r="Q334" s="142">
        <f t="shared" ca="1" si="48"/>
        <v>2</v>
      </c>
      <c r="R334" s="142">
        <f t="shared" si="45"/>
        <v>2</v>
      </c>
      <c r="S334" s="218"/>
      <c r="T334" s="218"/>
      <c r="U334" s="219"/>
      <c r="V334" s="220"/>
      <c r="W334" s="218"/>
      <c r="X334" s="220"/>
      <c r="Y334" s="217"/>
      <c r="Z334" s="17"/>
    </row>
    <row r="335" spans="1:26" ht="32.1" customHeight="1" x14ac:dyDescent="0.2">
      <c r="A335" s="44" t="s">
        <v>739</v>
      </c>
      <c r="B335" s="44" t="s">
        <v>745</v>
      </c>
      <c r="C335" s="44" t="s">
        <v>748</v>
      </c>
      <c r="D335" s="44" t="s">
        <v>447</v>
      </c>
      <c r="E335" s="45">
        <f t="shared" si="46"/>
        <v>52</v>
      </c>
      <c r="F335" s="142" t="s">
        <v>649</v>
      </c>
      <c r="G335" s="142" t="s">
        <v>650</v>
      </c>
      <c r="H335" s="142" t="s">
        <v>650</v>
      </c>
      <c r="I335" s="142" t="s">
        <v>650</v>
      </c>
      <c r="J335" s="142" t="s">
        <v>651</v>
      </c>
      <c r="K335" s="142" t="s">
        <v>210</v>
      </c>
      <c r="L335" s="142">
        <v>2</v>
      </c>
      <c r="M335" s="142" t="str">
        <f t="shared" ca="1" si="47"/>
        <v>Aucune case cochée</v>
      </c>
      <c r="N335" s="142" t="str">
        <f t="shared" ca="1" si="44"/>
        <v>Aucune case cochée</v>
      </c>
      <c r="O335" s="47">
        <v>1</v>
      </c>
      <c r="P335" s="142">
        <f t="shared" si="43"/>
        <v>2</v>
      </c>
      <c r="Q335" s="142">
        <f t="shared" ca="1" si="48"/>
        <v>2</v>
      </c>
      <c r="R335" s="142">
        <f t="shared" si="45"/>
        <v>2</v>
      </c>
      <c r="S335" s="218"/>
      <c r="T335" s="218"/>
      <c r="U335" s="219"/>
      <c r="V335" s="220"/>
      <c r="W335" s="218"/>
      <c r="X335" s="220"/>
      <c r="Y335" s="217"/>
      <c r="Z335" s="17"/>
    </row>
    <row r="336" spans="1:26" ht="32.1" customHeight="1" x14ac:dyDescent="0.2">
      <c r="A336" s="44" t="s">
        <v>739</v>
      </c>
      <c r="B336" s="44" t="s">
        <v>745</v>
      </c>
      <c r="C336" s="44" t="s">
        <v>748</v>
      </c>
      <c r="D336" s="44" t="s">
        <v>448</v>
      </c>
      <c r="E336" s="45">
        <f t="shared" si="46"/>
        <v>54</v>
      </c>
      <c r="F336" s="142" t="s">
        <v>649</v>
      </c>
      <c r="G336" s="142" t="s">
        <v>650</v>
      </c>
      <c r="H336" s="142" t="s">
        <v>650</v>
      </c>
      <c r="I336" s="142" t="s">
        <v>651</v>
      </c>
      <c r="J336" s="142" t="s">
        <v>210</v>
      </c>
      <c r="K336" s="142" t="s">
        <v>210</v>
      </c>
      <c r="L336" s="142">
        <v>2</v>
      </c>
      <c r="M336" s="142" t="str">
        <f t="shared" ca="1" si="47"/>
        <v>Aucune case cochée</v>
      </c>
      <c r="N336" s="142" t="str">
        <f t="shared" ca="1" si="44"/>
        <v>Aucune case cochée</v>
      </c>
      <c r="O336" s="47">
        <v>1</v>
      </c>
      <c r="P336" s="142">
        <f t="shared" si="43"/>
        <v>2</v>
      </c>
      <c r="Q336" s="142">
        <f t="shared" ca="1" si="48"/>
        <v>2</v>
      </c>
      <c r="R336" s="142">
        <f t="shared" si="45"/>
        <v>2</v>
      </c>
      <c r="S336" s="218"/>
      <c r="T336" s="218"/>
      <c r="U336" s="219"/>
      <c r="V336" s="220"/>
      <c r="W336" s="218"/>
      <c r="X336" s="220"/>
      <c r="Y336" s="217"/>
      <c r="Z336" s="17"/>
    </row>
    <row r="337" spans="1:26" ht="32.1" customHeight="1" x14ac:dyDescent="0.2">
      <c r="A337" s="44" t="s">
        <v>739</v>
      </c>
      <c r="B337" s="44" t="s">
        <v>745</v>
      </c>
      <c r="C337" s="44" t="s">
        <v>748</v>
      </c>
      <c r="D337" s="44" t="s">
        <v>449</v>
      </c>
      <c r="E337" s="45">
        <f t="shared" si="46"/>
        <v>56</v>
      </c>
      <c r="F337" s="142" t="s">
        <v>649</v>
      </c>
      <c r="G337" s="142" t="s">
        <v>650</v>
      </c>
      <c r="H337" s="142" t="s">
        <v>650</v>
      </c>
      <c r="I337" s="142" t="s">
        <v>651</v>
      </c>
      <c r="J337" s="142" t="s">
        <v>210</v>
      </c>
      <c r="K337" s="142" t="s">
        <v>210</v>
      </c>
      <c r="L337" s="142">
        <v>2</v>
      </c>
      <c r="M337" s="142" t="str">
        <f t="shared" ca="1" si="47"/>
        <v>Aucune case cochée</v>
      </c>
      <c r="N337" s="142" t="str">
        <f t="shared" ca="1" si="44"/>
        <v>Aucune case cochée</v>
      </c>
      <c r="O337" s="47">
        <v>1</v>
      </c>
      <c r="P337" s="142">
        <f t="shared" si="43"/>
        <v>2</v>
      </c>
      <c r="Q337" s="142">
        <f t="shared" ca="1" si="48"/>
        <v>2</v>
      </c>
      <c r="R337" s="142">
        <f t="shared" si="45"/>
        <v>2</v>
      </c>
      <c r="S337" s="218"/>
      <c r="T337" s="218"/>
      <c r="U337" s="219"/>
      <c r="V337" s="220"/>
      <c r="W337" s="218"/>
      <c r="X337" s="220"/>
      <c r="Y337" s="217"/>
      <c r="Z337" s="17"/>
    </row>
    <row r="338" spans="1:26" ht="32.1" customHeight="1" x14ac:dyDescent="0.2">
      <c r="A338" s="44" t="s">
        <v>739</v>
      </c>
      <c r="B338" s="44" t="s">
        <v>745</v>
      </c>
      <c r="C338" s="44" t="s">
        <v>748</v>
      </c>
      <c r="D338" s="44" t="s">
        <v>450</v>
      </c>
      <c r="E338" s="45">
        <f t="shared" si="46"/>
        <v>58</v>
      </c>
      <c r="F338" s="142" t="s">
        <v>649</v>
      </c>
      <c r="G338" s="142" t="s">
        <v>650</v>
      </c>
      <c r="H338" s="142" t="s">
        <v>650</v>
      </c>
      <c r="I338" s="142" t="s">
        <v>650</v>
      </c>
      <c r="J338" s="142" t="s">
        <v>650</v>
      </c>
      <c r="K338" s="142" t="s">
        <v>650</v>
      </c>
      <c r="L338" s="142">
        <v>2</v>
      </c>
      <c r="M338" s="142" t="str">
        <f t="shared" ca="1" si="47"/>
        <v>Aucune case cochée</v>
      </c>
      <c r="N338" s="142" t="str">
        <f t="shared" ca="1" si="44"/>
        <v>Aucune case cochée</v>
      </c>
      <c r="O338" s="47">
        <v>1</v>
      </c>
      <c r="P338" s="142">
        <f t="shared" si="43"/>
        <v>2</v>
      </c>
      <c r="Q338" s="142">
        <f t="shared" ca="1" si="48"/>
        <v>2</v>
      </c>
      <c r="R338" s="142">
        <f t="shared" si="45"/>
        <v>2</v>
      </c>
      <c r="S338" s="218"/>
      <c r="T338" s="218"/>
      <c r="U338" s="219"/>
      <c r="V338" s="220"/>
      <c r="W338" s="218"/>
      <c r="X338" s="220"/>
      <c r="Y338" s="217"/>
      <c r="Z338" s="17"/>
    </row>
    <row r="339" spans="1:26" ht="32.1" customHeight="1" x14ac:dyDescent="0.2">
      <c r="A339" s="44" t="s">
        <v>739</v>
      </c>
      <c r="B339" s="44" t="s">
        <v>745</v>
      </c>
      <c r="C339" s="44" t="s">
        <v>748</v>
      </c>
      <c r="D339" s="44" t="s">
        <v>451</v>
      </c>
      <c r="E339" s="45">
        <f t="shared" si="46"/>
        <v>60</v>
      </c>
      <c r="F339" s="142" t="s">
        <v>656</v>
      </c>
      <c r="G339" s="142" t="s">
        <v>650</v>
      </c>
      <c r="H339" s="142" t="s">
        <v>650</v>
      </c>
      <c r="I339" s="142" t="s">
        <v>650</v>
      </c>
      <c r="J339" s="142" t="s">
        <v>650</v>
      </c>
      <c r="K339" s="142" t="s">
        <v>650</v>
      </c>
      <c r="L339" s="142">
        <v>1</v>
      </c>
      <c r="M339" s="142" t="str">
        <f t="shared" ca="1" si="47"/>
        <v>Aucune case cochée</v>
      </c>
      <c r="N339" s="142" t="str">
        <f t="shared" ca="1" si="44"/>
        <v>Aucune case cochée</v>
      </c>
      <c r="O339" s="47">
        <v>0</v>
      </c>
      <c r="P339" s="142">
        <f t="shared" si="43"/>
        <v>0</v>
      </c>
      <c r="Q339" s="142">
        <f t="shared" ca="1" si="48"/>
        <v>3</v>
      </c>
      <c r="R339" s="142">
        <f t="shared" si="45"/>
        <v>3</v>
      </c>
      <c r="S339" s="218"/>
      <c r="T339" s="218"/>
      <c r="U339" s="219"/>
      <c r="V339" s="220"/>
      <c r="W339" s="218"/>
      <c r="X339" s="220"/>
      <c r="Y339" s="217"/>
      <c r="Z339" s="17"/>
    </row>
    <row r="340" spans="1:26" ht="32.1" customHeight="1" x14ac:dyDescent="0.2">
      <c r="A340" s="44" t="s">
        <v>739</v>
      </c>
      <c r="B340" s="44" t="s">
        <v>745</v>
      </c>
      <c r="C340" s="44" t="s">
        <v>748</v>
      </c>
      <c r="D340" s="44" t="s">
        <v>749</v>
      </c>
      <c r="E340" s="45">
        <f t="shared" si="46"/>
        <v>62</v>
      </c>
      <c r="F340" s="142" t="s">
        <v>656</v>
      </c>
      <c r="G340" s="142" t="s">
        <v>650</v>
      </c>
      <c r="H340" s="142" t="s">
        <v>650</v>
      </c>
      <c r="I340" s="142" t="s">
        <v>650</v>
      </c>
      <c r="J340" s="142" t="s">
        <v>650</v>
      </c>
      <c r="K340" s="142" t="s">
        <v>650</v>
      </c>
      <c r="L340" s="142">
        <v>1</v>
      </c>
      <c r="M340" s="142" t="str">
        <f t="shared" ca="1" si="47"/>
        <v>Aucune case cochée</v>
      </c>
      <c r="N340" s="142" t="str">
        <f t="shared" ca="1" si="44"/>
        <v>Aucune case cochée</v>
      </c>
      <c r="O340" s="47">
        <v>0</v>
      </c>
      <c r="P340" s="142">
        <f t="shared" si="43"/>
        <v>0</v>
      </c>
      <c r="Q340" s="142">
        <f t="shared" ca="1" si="48"/>
        <v>3</v>
      </c>
      <c r="R340" s="142">
        <f t="shared" si="45"/>
        <v>3</v>
      </c>
      <c r="S340" s="218"/>
      <c r="T340" s="218"/>
      <c r="U340" s="219"/>
      <c r="V340" s="220"/>
      <c r="W340" s="218"/>
      <c r="X340" s="220"/>
      <c r="Y340" s="217"/>
      <c r="Z340" s="17"/>
    </row>
    <row r="341" spans="1:26" ht="32.1" customHeight="1" x14ac:dyDescent="0.2">
      <c r="A341" s="44" t="s">
        <v>739</v>
      </c>
      <c r="B341" s="44" t="s">
        <v>750</v>
      </c>
      <c r="C341" s="44" t="s">
        <v>751</v>
      </c>
      <c r="D341" s="44" t="s">
        <v>454</v>
      </c>
      <c r="E341" s="45">
        <f t="shared" si="46"/>
        <v>10</v>
      </c>
      <c r="F341" s="142" t="s">
        <v>649</v>
      </c>
      <c r="G341" s="142" t="s">
        <v>650</v>
      </c>
      <c r="H341" s="142" t="s">
        <v>650</v>
      </c>
      <c r="I341" s="142" t="s">
        <v>650</v>
      </c>
      <c r="J341" s="142" t="s">
        <v>650</v>
      </c>
      <c r="K341" s="142" t="s">
        <v>651</v>
      </c>
      <c r="L341" s="142">
        <v>2</v>
      </c>
      <c r="M341" s="142" t="str">
        <f t="shared" ca="1" si="47"/>
        <v>Aucune case cochée</v>
      </c>
      <c r="N341" s="142" t="str">
        <f t="shared" ca="1" si="44"/>
        <v>Aucune case cochée</v>
      </c>
      <c r="O341" s="47">
        <v>1</v>
      </c>
      <c r="P341" s="142">
        <f t="shared" si="43"/>
        <v>2</v>
      </c>
      <c r="Q341" s="142">
        <f t="shared" ca="1" si="48"/>
        <v>2</v>
      </c>
      <c r="R341" s="142">
        <f t="shared" si="45"/>
        <v>2</v>
      </c>
      <c r="S341" s="218">
        <f>SUM(P341:P349)</f>
        <v>14</v>
      </c>
      <c r="T341" s="218">
        <f>SUM(R341:R349)</f>
        <v>20</v>
      </c>
      <c r="U341" s="219">
        <f>+S341/T341</f>
        <v>0.7</v>
      </c>
      <c r="V341" s="220">
        <v>0.05</v>
      </c>
      <c r="W341" s="218"/>
      <c r="X341" s="220"/>
      <c r="Y341" s="217"/>
      <c r="Z341" s="17"/>
    </row>
    <row r="342" spans="1:26" ht="32.1" customHeight="1" x14ac:dyDescent="0.2">
      <c r="A342" s="44" t="s">
        <v>739</v>
      </c>
      <c r="B342" s="44" t="s">
        <v>750</v>
      </c>
      <c r="C342" s="44" t="s">
        <v>751</v>
      </c>
      <c r="D342" s="44" t="s">
        <v>455</v>
      </c>
      <c r="E342" s="45">
        <f t="shared" si="46"/>
        <v>12</v>
      </c>
      <c r="F342" s="142" t="s">
        <v>649</v>
      </c>
      <c r="G342" s="142" t="s">
        <v>650</v>
      </c>
      <c r="H342" s="142" t="s">
        <v>650</v>
      </c>
      <c r="I342" s="142" t="s">
        <v>651</v>
      </c>
      <c r="J342" s="142" t="s">
        <v>210</v>
      </c>
      <c r="K342" s="142" t="s">
        <v>210</v>
      </c>
      <c r="L342" s="142">
        <v>2</v>
      </c>
      <c r="M342" s="142" t="str">
        <f t="shared" ca="1" si="47"/>
        <v>Aucune case cochée</v>
      </c>
      <c r="N342" s="142" t="str">
        <f t="shared" ca="1" si="44"/>
        <v>Aucune case cochée</v>
      </c>
      <c r="O342" s="47">
        <v>1</v>
      </c>
      <c r="P342" s="142">
        <f t="shared" si="43"/>
        <v>2</v>
      </c>
      <c r="Q342" s="142">
        <f t="shared" ca="1" si="48"/>
        <v>2</v>
      </c>
      <c r="R342" s="142">
        <f t="shared" si="45"/>
        <v>2</v>
      </c>
      <c r="S342" s="218"/>
      <c r="T342" s="218"/>
      <c r="U342" s="219"/>
      <c r="V342" s="220"/>
      <c r="W342" s="218"/>
      <c r="X342" s="220"/>
      <c r="Y342" s="217"/>
      <c r="Z342" s="17"/>
    </row>
    <row r="343" spans="1:26" ht="32.1" customHeight="1" x14ac:dyDescent="0.2">
      <c r="A343" s="44" t="s">
        <v>739</v>
      </c>
      <c r="B343" s="44" t="s">
        <v>750</v>
      </c>
      <c r="C343" s="44" t="s">
        <v>751</v>
      </c>
      <c r="D343" s="44" t="s">
        <v>456</v>
      </c>
      <c r="E343" s="45">
        <f t="shared" si="46"/>
        <v>14</v>
      </c>
      <c r="F343" s="142" t="s">
        <v>649</v>
      </c>
      <c r="G343" s="142" t="s">
        <v>650</v>
      </c>
      <c r="H343" s="142" t="s">
        <v>651</v>
      </c>
      <c r="I343" s="142" t="s">
        <v>651</v>
      </c>
      <c r="J343" s="142" t="s">
        <v>210</v>
      </c>
      <c r="K343" s="142" t="s">
        <v>210</v>
      </c>
      <c r="L343" s="142">
        <v>2</v>
      </c>
      <c r="M343" s="142" t="str">
        <f t="shared" ca="1" si="47"/>
        <v>Aucune case cochée</v>
      </c>
      <c r="N343" s="142" t="str">
        <f t="shared" ca="1" si="44"/>
        <v>Aucune case cochée</v>
      </c>
      <c r="O343" s="47">
        <v>1</v>
      </c>
      <c r="P343" s="142">
        <f t="shared" ref="P343:P374" si="49">IF(O343="Non concerné",O343,O343*L343)</f>
        <v>2</v>
      </c>
      <c r="Q343" s="142">
        <f t="shared" ca="1" si="48"/>
        <v>2</v>
      </c>
      <c r="R343" s="142">
        <f t="shared" si="45"/>
        <v>2</v>
      </c>
      <c r="S343" s="218"/>
      <c r="T343" s="218"/>
      <c r="U343" s="219"/>
      <c r="V343" s="220"/>
      <c r="W343" s="218"/>
      <c r="X343" s="220"/>
      <c r="Y343" s="217"/>
      <c r="Z343" s="17"/>
    </row>
    <row r="344" spans="1:26" ht="32.1" customHeight="1" x14ac:dyDescent="0.2">
      <c r="A344" s="44" t="s">
        <v>739</v>
      </c>
      <c r="B344" s="44" t="s">
        <v>750</v>
      </c>
      <c r="C344" s="44" t="s">
        <v>751</v>
      </c>
      <c r="D344" s="44" t="s">
        <v>457</v>
      </c>
      <c r="E344" s="45">
        <f t="shared" si="46"/>
        <v>16</v>
      </c>
      <c r="F344" s="142" t="s">
        <v>649</v>
      </c>
      <c r="G344" s="142" t="s">
        <v>650</v>
      </c>
      <c r="H344" s="142" t="s">
        <v>650</v>
      </c>
      <c r="I344" s="142" t="s">
        <v>651</v>
      </c>
      <c r="J344" s="142" t="s">
        <v>210</v>
      </c>
      <c r="K344" s="142" t="s">
        <v>210</v>
      </c>
      <c r="L344" s="142">
        <v>2</v>
      </c>
      <c r="M344" s="142" t="str">
        <f t="shared" ca="1" si="47"/>
        <v>Aucune case cochée</v>
      </c>
      <c r="N344" s="142" t="str">
        <f t="shared" ca="1" si="44"/>
        <v>Aucune case cochée</v>
      </c>
      <c r="O344" s="47">
        <v>1</v>
      </c>
      <c r="P344" s="142">
        <f t="shared" si="49"/>
        <v>2</v>
      </c>
      <c r="Q344" s="142">
        <f t="shared" ca="1" si="48"/>
        <v>2</v>
      </c>
      <c r="R344" s="142">
        <f t="shared" si="45"/>
        <v>2</v>
      </c>
      <c r="S344" s="218"/>
      <c r="T344" s="218"/>
      <c r="U344" s="219"/>
      <c r="V344" s="220"/>
      <c r="W344" s="218"/>
      <c r="X344" s="220"/>
      <c r="Y344" s="217"/>
      <c r="Z344" s="17"/>
    </row>
    <row r="345" spans="1:26" ht="32.1" customHeight="1" x14ac:dyDescent="0.2">
      <c r="A345" s="44" t="s">
        <v>739</v>
      </c>
      <c r="B345" s="44" t="s">
        <v>750</v>
      </c>
      <c r="C345" s="44" t="s">
        <v>751</v>
      </c>
      <c r="D345" s="44" t="s">
        <v>458</v>
      </c>
      <c r="E345" s="45">
        <f t="shared" si="46"/>
        <v>18</v>
      </c>
      <c r="F345" s="142" t="s">
        <v>649</v>
      </c>
      <c r="G345" s="142" t="s">
        <v>650</v>
      </c>
      <c r="H345" s="142" t="s">
        <v>650</v>
      </c>
      <c r="I345" s="142" t="s">
        <v>651</v>
      </c>
      <c r="J345" s="142" t="s">
        <v>210</v>
      </c>
      <c r="K345" s="142" t="s">
        <v>210</v>
      </c>
      <c r="L345" s="142">
        <v>2</v>
      </c>
      <c r="M345" s="142" t="str">
        <f t="shared" ca="1" si="47"/>
        <v>Aucune case cochée</v>
      </c>
      <c r="N345" s="142" t="str">
        <f t="shared" ca="1" si="44"/>
        <v>Aucune case cochée</v>
      </c>
      <c r="O345" s="47">
        <v>1</v>
      </c>
      <c r="P345" s="142">
        <f t="shared" si="49"/>
        <v>2</v>
      </c>
      <c r="Q345" s="142">
        <f t="shared" ca="1" si="48"/>
        <v>2</v>
      </c>
      <c r="R345" s="142">
        <f t="shared" si="45"/>
        <v>2</v>
      </c>
      <c r="S345" s="218"/>
      <c r="T345" s="218"/>
      <c r="U345" s="219"/>
      <c r="V345" s="220"/>
      <c r="W345" s="218"/>
      <c r="X345" s="220"/>
      <c r="Y345" s="217"/>
      <c r="Z345" s="17"/>
    </row>
    <row r="346" spans="1:26" ht="32.1" customHeight="1" x14ac:dyDescent="0.2">
      <c r="A346" s="44" t="s">
        <v>739</v>
      </c>
      <c r="B346" s="44" t="s">
        <v>750</v>
      </c>
      <c r="C346" s="44" t="s">
        <v>751</v>
      </c>
      <c r="D346" s="44" t="s">
        <v>459</v>
      </c>
      <c r="E346" s="45">
        <f t="shared" si="46"/>
        <v>20</v>
      </c>
      <c r="F346" s="142" t="s">
        <v>649</v>
      </c>
      <c r="G346" s="142" t="s">
        <v>650</v>
      </c>
      <c r="H346" s="142" t="s">
        <v>650</v>
      </c>
      <c r="I346" s="142" t="s">
        <v>650</v>
      </c>
      <c r="J346" s="142" t="s">
        <v>650</v>
      </c>
      <c r="K346" s="142" t="s">
        <v>650</v>
      </c>
      <c r="L346" s="142">
        <v>2</v>
      </c>
      <c r="M346" s="142" t="str">
        <f t="shared" ca="1" si="47"/>
        <v>Aucune case cochée</v>
      </c>
      <c r="N346" s="142" t="str">
        <f t="shared" ca="1" si="44"/>
        <v>Aucune case cochée</v>
      </c>
      <c r="O346" s="47">
        <v>1</v>
      </c>
      <c r="P346" s="142">
        <f t="shared" si="49"/>
        <v>2</v>
      </c>
      <c r="Q346" s="142">
        <f t="shared" ca="1" si="48"/>
        <v>2</v>
      </c>
      <c r="R346" s="142">
        <f t="shared" si="45"/>
        <v>2</v>
      </c>
      <c r="S346" s="218"/>
      <c r="T346" s="218"/>
      <c r="U346" s="219"/>
      <c r="V346" s="220"/>
      <c r="W346" s="218"/>
      <c r="X346" s="220"/>
      <c r="Y346" s="217"/>
      <c r="Z346" s="17"/>
    </row>
    <row r="347" spans="1:26" ht="32.1" customHeight="1" x14ac:dyDescent="0.2">
      <c r="A347" s="44" t="s">
        <v>739</v>
      </c>
      <c r="B347" s="44" t="s">
        <v>750</v>
      </c>
      <c r="C347" s="44" t="s">
        <v>751</v>
      </c>
      <c r="D347" s="44" t="s">
        <v>460</v>
      </c>
      <c r="E347" s="45">
        <f t="shared" si="46"/>
        <v>22</v>
      </c>
      <c r="F347" s="142" t="s">
        <v>649</v>
      </c>
      <c r="G347" s="142" t="s">
        <v>650</v>
      </c>
      <c r="H347" s="142" t="s">
        <v>650</v>
      </c>
      <c r="I347" s="142" t="s">
        <v>650</v>
      </c>
      <c r="J347" s="142" t="s">
        <v>650</v>
      </c>
      <c r="K347" s="142" t="s">
        <v>650</v>
      </c>
      <c r="L347" s="142">
        <v>2</v>
      </c>
      <c r="M347" s="142" t="str">
        <f t="shared" ca="1" si="47"/>
        <v>Aucune case cochée</v>
      </c>
      <c r="N347" s="142" t="str">
        <f t="shared" ca="1" si="44"/>
        <v>Aucune case cochée</v>
      </c>
      <c r="O347" s="47">
        <v>1</v>
      </c>
      <c r="P347" s="142">
        <f t="shared" si="49"/>
        <v>2</v>
      </c>
      <c r="Q347" s="142">
        <f t="shared" ca="1" si="48"/>
        <v>2</v>
      </c>
      <c r="R347" s="142">
        <f t="shared" si="45"/>
        <v>2</v>
      </c>
      <c r="S347" s="218"/>
      <c r="T347" s="218"/>
      <c r="U347" s="219"/>
      <c r="V347" s="220"/>
      <c r="W347" s="218"/>
      <c r="X347" s="220"/>
      <c r="Y347" s="217"/>
      <c r="Z347" s="17"/>
    </row>
    <row r="348" spans="1:26" ht="32.1" customHeight="1" x14ac:dyDescent="0.2">
      <c r="A348" s="44" t="s">
        <v>739</v>
      </c>
      <c r="B348" s="44" t="s">
        <v>750</v>
      </c>
      <c r="C348" s="44" t="s">
        <v>751</v>
      </c>
      <c r="D348" s="44" t="s">
        <v>461</v>
      </c>
      <c r="E348" s="45">
        <f t="shared" si="46"/>
        <v>24</v>
      </c>
      <c r="F348" s="142" t="s">
        <v>656</v>
      </c>
      <c r="G348" s="142" t="s">
        <v>650</v>
      </c>
      <c r="H348" s="142" t="s">
        <v>650</v>
      </c>
      <c r="I348" s="142" t="s">
        <v>650</v>
      </c>
      <c r="J348" s="142" t="s">
        <v>650</v>
      </c>
      <c r="K348" s="142" t="s">
        <v>650</v>
      </c>
      <c r="L348" s="142">
        <v>1</v>
      </c>
      <c r="M348" s="142" t="str">
        <f t="shared" ca="1" si="47"/>
        <v>Aucune case cochée</v>
      </c>
      <c r="N348" s="142" t="str">
        <f t="shared" ca="1" si="44"/>
        <v>Aucune case cochée</v>
      </c>
      <c r="O348" s="47">
        <v>0</v>
      </c>
      <c r="P348" s="142">
        <f t="shared" si="49"/>
        <v>0</v>
      </c>
      <c r="Q348" s="142">
        <f t="shared" ca="1" si="48"/>
        <v>3</v>
      </c>
      <c r="R348" s="142">
        <f t="shared" si="45"/>
        <v>3</v>
      </c>
      <c r="S348" s="218"/>
      <c r="T348" s="218"/>
      <c r="U348" s="219"/>
      <c r="V348" s="220"/>
      <c r="W348" s="218"/>
      <c r="X348" s="220"/>
      <c r="Y348" s="217"/>
      <c r="Z348" s="17"/>
    </row>
    <row r="349" spans="1:26" ht="32.1" customHeight="1" x14ac:dyDescent="0.2">
      <c r="A349" s="44" t="s">
        <v>739</v>
      </c>
      <c r="B349" s="44" t="s">
        <v>750</v>
      </c>
      <c r="C349" s="44" t="s">
        <v>751</v>
      </c>
      <c r="D349" s="44" t="s">
        <v>462</v>
      </c>
      <c r="E349" s="45">
        <f t="shared" si="46"/>
        <v>26</v>
      </c>
      <c r="F349" s="142" t="s">
        <v>656</v>
      </c>
      <c r="G349" s="142" t="s">
        <v>650</v>
      </c>
      <c r="H349" s="142" t="s">
        <v>650</v>
      </c>
      <c r="I349" s="142" t="s">
        <v>650</v>
      </c>
      <c r="J349" s="142" t="s">
        <v>650</v>
      </c>
      <c r="K349" s="142" t="s">
        <v>650</v>
      </c>
      <c r="L349" s="142">
        <v>1</v>
      </c>
      <c r="M349" s="142" t="str">
        <f t="shared" ca="1" si="47"/>
        <v>Aucune case cochée</v>
      </c>
      <c r="N349" s="142" t="str">
        <f t="shared" ca="1" si="44"/>
        <v>Aucune case cochée</v>
      </c>
      <c r="O349" s="47">
        <v>0</v>
      </c>
      <c r="P349" s="142">
        <f t="shared" si="49"/>
        <v>0</v>
      </c>
      <c r="Q349" s="142">
        <f t="shared" ca="1" si="48"/>
        <v>3</v>
      </c>
      <c r="R349" s="142">
        <f t="shared" si="45"/>
        <v>3</v>
      </c>
      <c r="S349" s="218"/>
      <c r="T349" s="218"/>
      <c r="U349" s="219"/>
      <c r="V349" s="220"/>
      <c r="W349" s="218"/>
      <c r="X349" s="220"/>
      <c r="Y349" s="217"/>
      <c r="Z349" s="17"/>
    </row>
    <row r="350" spans="1:26" ht="32.1" customHeight="1" x14ac:dyDescent="0.2">
      <c r="A350" s="44" t="s">
        <v>739</v>
      </c>
      <c r="B350" s="44" t="s">
        <v>750</v>
      </c>
      <c r="C350" s="44" t="s">
        <v>752</v>
      </c>
      <c r="D350" s="44" t="s">
        <v>464</v>
      </c>
      <c r="E350" s="45">
        <f t="shared" si="46"/>
        <v>29</v>
      </c>
      <c r="F350" s="142" t="s">
        <v>649</v>
      </c>
      <c r="G350" s="142" t="s">
        <v>650</v>
      </c>
      <c r="H350" s="142" t="s">
        <v>650</v>
      </c>
      <c r="I350" s="142" t="s">
        <v>650</v>
      </c>
      <c r="J350" s="142" t="s">
        <v>651</v>
      </c>
      <c r="K350" s="142" t="s">
        <v>210</v>
      </c>
      <c r="L350" s="142">
        <v>2</v>
      </c>
      <c r="M350" s="142" t="str">
        <f t="shared" ca="1" si="47"/>
        <v>Aucune case cochée</v>
      </c>
      <c r="N350" s="142" t="str">
        <f t="shared" ca="1" si="44"/>
        <v>Aucune case cochée</v>
      </c>
      <c r="O350" s="47">
        <v>1</v>
      </c>
      <c r="P350" s="142">
        <f t="shared" si="49"/>
        <v>2</v>
      </c>
      <c r="Q350" s="142">
        <f t="shared" ca="1" si="48"/>
        <v>2</v>
      </c>
      <c r="R350" s="142">
        <f t="shared" si="45"/>
        <v>2</v>
      </c>
      <c r="S350" s="218">
        <f>SUM(P350:P355)</f>
        <v>8</v>
      </c>
      <c r="T350" s="218">
        <f>SUM(R350:R355)</f>
        <v>14</v>
      </c>
      <c r="U350" s="219">
        <f>+S350/T350</f>
        <v>0.5714285714285714</v>
      </c>
      <c r="V350" s="220">
        <v>0.05</v>
      </c>
      <c r="W350" s="218"/>
      <c r="X350" s="220"/>
      <c r="Y350" s="217"/>
      <c r="Z350" s="17"/>
    </row>
    <row r="351" spans="1:26" ht="32.1" customHeight="1" x14ac:dyDescent="0.2">
      <c r="A351" s="44" t="s">
        <v>739</v>
      </c>
      <c r="B351" s="44" t="s">
        <v>750</v>
      </c>
      <c r="C351" s="44" t="s">
        <v>752</v>
      </c>
      <c r="D351" s="44" t="s">
        <v>465</v>
      </c>
      <c r="E351" s="45">
        <f t="shared" si="46"/>
        <v>31</v>
      </c>
      <c r="F351" s="142" t="s">
        <v>649</v>
      </c>
      <c r="G351" s="142" t="s">
        <v>650</v>
      </c>
      <c r="H351" s="142" t="s">
        <v>650</v>
      </c>
      <c r="I351" s="142" t="s">
        <v>651</v>
      </c>
      <c r="J351" s="142" t="s">
        <v>210</v>
      </c>
      <c r="K351" s="142" t="s">
        <v>210</v>
      </c>
      <c r="L351" s="142">
        <v>2</v>
      </c>
      <c r="M351" s="142" t="str">
        <f t="shared" ca="1" si="47"/>
        <v>Aucune case cochée</v>
      </c>
      <c r="N351" s="142" t="str">
        <f t="shared" ca="1" si="44"/>
        <v>Aucune case cochée</v>
      </c>
      <c r="O351" s="47">
        <v>1</v>
      </c>
      <c r="P351" s="142">
        <f t="shared" si="49"/>
        <v>2</v>
      </c>
      <c r="Q351" s="142">
        <f t="shared" ca="1" si="48"/>
        <v>2</v>
      </c>
      <c r="R351" s="142">
        <f t="shared" si="45"/>
        <v>2</v>
      </c>
      <c r="S351" s="218"/>
      <c r="T351" s="218"/>
      <c r="U351" s="219"/>
      <c r="V351" s="220"/>
      <c r="W351" s="218"/>
      <c r="X351" s="220"/>
      <c r="Y351" s="217"/>
      <c r="Z351" s="17"/>
    </row>
    <row r="352" spans="1:26" ht="32.1" customHeight="1" x14ac:dyDescent="0.2">
      <c r="A352" s="44" t="s">
        <v>739</v>
      </c>
      <c r="B352" s="44" t="s">
        <v>750</v>
      </c>
      <c r="C352" s="44" t="s">
        <v>752</v>
      </c>
      <c r="D352" s="44" t="s">
        <v>466</v>
      </c>
      <c r="E352" s="45">
        <f t="shared" si="46"/>
        <v>33</v>
      </c>
      <c r="F352" s="142" t="s">
        <v>649</v>
      </c>
      <c r="G352" s="142" t="s">
        <v>650</v>
      </c>
      <c r="H352" s="142" t="s">
        <v>650</v>
      </c>
      <c r="I352" s="142" t="s">
        <v>650</v>
      </c>
      <c r="J352" s="142" t="s">
        <v>651</v>
      </c>
      <c r="K352" s="142" t="s">
        <v>210</v>
      </c>
      <c r="L352" s="142">
        <v>2</v>
      </c>
      <c r="M352" s="142" t="str">
        <f t="shared" ca="1" si="47"/>
        <v>Aucune case cochée</v>
      </c>
      <c r="N352" s="142" t="str">
        <f t="shared" ca="1" si="44"/>
        <v>Aucune case cochée</v>
      </c>
      <c r="O352" s="47">
        <v>1</v>
      </c>
      <c r="P352" s="142">
        <f t="shared" si="49"/>
        <v>2</v>
      </c>
      <c r="Q352" s="142">
        <f t="shared" ca="1" si="48"/>
        <v>2</v>
      </c>
      <c r="R352" s="142">
        <f t="shared" si="45"/>
        <v>2</v>
      </c>
      <c r="S352" s="218"/>
      <c r="T352" s="218"/>
      <c r="U352" s="219"/>
      <c r="V352" s="220"/>
      <c r="W352" s="218"/>
      <c r="X352" s="220"/>
      <c r="Y352" s="217"/>
      <c r="Z352" s="17"/>
    </row>
    <row r="353" spans="1:26" ht="32.1" customHeight="1" x14ac:dyDescent="0.2">
      <c r="A353" s="44" t="s">
        <v>739</v>
      </c>
      <c r="B353" s="44" t="s">
        <v>750</v>
      </c>
      <c r="C353" s="44" t="s">
        <v>752</v>
      </c>
      <c r="D353" s="44" t="s">
        <v>467</v>
      </c>
      <c r="E353" s="45">
        <f t="shared" si="46"/>
        <v>35</v>
      </c>
      <c r="F353" s="142" t="s">
        <v>656</v>
      </c>
      <c r="G353" s="142" t="s">
        <v>650</v>
      </c>
      <c r="H353" s="142" t="s">
        <v>650</v>
      </c>
      <c r="I353" s="142" t="s">
        <v>650</v>
      </c>
      <c r="J353" s="142" t="s">
        <v>651</v>
      </c>
      <c r="K353" s="142" t="s">
        <v>210</v>
      </c>
      <c r="L353" s="142">
        <v>1</v>
      </c>
      <c r="M353" s="142" t="str">
        <f t="shared" ca="1" si="47"/>
        <v>Aucune case cochée</v>
      </c>
      <c r="N353" s="142" t="str">
        <f t="shared" ca="1" si="44"/>
        <v>Aucune case cochée</v>
      </c>
      <c r="O353" s="47">
        <v>0</v>
      </c>
      <c r="P353" s="142">
        <f t="shared" si="49"/>
        <v>0</v>
      </c>
      <c r="Q353" s="142">
        <f t="shared" ca="1" si="48"/>
        <v>3</v>
      </c>
      <c r="R353" s="142">
        <f t="shared" si="45"/>
        <v>3</v>
      </c>
      <c r="S353" s="218"/>
      <c r="T353" s="218"/>
      <c r="U353" s="219"/>
      <c r="V353" s="220"/>
      <c r="W353" s="218"/>
      <c r="X353" s="220"/>
      <c r="Y353" s="217"/>
      <c r="Z353" s="17"/>
    </row>
    <row r="354" spans="1:26" ht="32.1" customHeight="1" x14ac:dyDescent="0.2">
      <c r="A354" s="44" t="s">
        <v>739</v>
      </c>
      <c r="B354" s="44" t="s">
        <v>750</v>
      </c>
      <c r="C354" s="44" t="s">
        <v>752</v>
      </c>
      <c r="D354" s="44" t="s">
        <v>468</v>
      </c>
      <c r="E354" s="45">
        <f t="shared" si="46"/>
        <v>37</v>
      </c>
      <c r="F354" s="142" t="s">
        <v>656</v>
      </c>
      <c r="G354" s="142" t="s">
        <v>650</v>
      </c>
      <c r="H354" s="142" t="s">
        <v>650</v>
      </c>
      <c r="I354" s="142" t="s">
        <v>650</v>
      </c>
      <c r="J354" s="142" t="s">
        <v>651</v>
      </c>
      <c r="K354" s="142" t="s">
        <v>210</v>
      </c>
      <c r="L354" s="142">
        <v>1</v>
      </c>
      <c r="M354" s="142" t="str">
        <f t="shared" ca="1" si="47"/>
        <v>Aucune case cochée</v>
      </c>
      <c r="N354" s="142" t="str">
        <f t="shared" ca="1" si="44"/>
        <v>Aucune case cochée</v>
      </c>
      <c r="O354" s="47">
        <v>0</v>
      </c>
      <c r="P354" s="142">
        <f t="shared" si="49"/>
        <v>0</v>
      </c>
      <c r="Q354" s="142">
        <f t="shared" ca="1" si="48"/>
        <v>3</v>
      </c>
      <c r="R354" s="142">
        <f t="shared" si="45"/>
        <v>3</v>
      </c>
      <c r="S354" s="218"/>
      <c r="T354" s="218"/>
      <c r="U354" s="219"/>
      <c r="V354" s="220"/>
      <c r="W354" s="218"/>
      <c r="X354" s="220"/>
      <c r="Y354" s="217"/>
      <c r="Z354" s="17"/>
    </row>
    <row r="355" spans="1:26" ht="32.1" customHeight="1" x14ac:dyDescent="0.2">
      <c r="A355" s="44" t="s">
        <v>739</v>
      </c>
      <c r="B355" s="44" t="s">
        <v>750</v>
      </c>
      <c r="C355" s="44" t="s">
        <v>752</v>
      </c>
      <c r="D355" s="44" t="s">
        <v>469</v>
      </c>
      <c r="E355" s="45">
        <f t="shared" si="46"/>
        <v>39</v>
      </c>
      <c r="F355" s="142" t="s">
        <v>649</v>
      </c>
      <c r="G355" s="142" t="s">
        <v>650</v>
      </c>
      <c r="H355" s="142" t="s">
        <v>650</v>
      </c>
      <c r="I355" s="142" t="s">
        <v>650</v>
      </c>
      <c r="J355" s="142" t="s">
        <v>651</v>
      </c>
      <c r="K355" s="142" t="s">
        <v>210</v>
      </c>
      <c r="L355" s="142">
        <v>2</v>
      </c>
      <c r="M355" s="142" t="str">
        <f t="shared" ca="1" si="47"/>
        <v>Aucune case cochée</v>
      </c>
      <c r="N355" s="142" t="str">
        <f t="shared" ca="1" si="44"/>
        <v>Aucune case cochée</v>
      </c>
      <c r="O355" s="47">
        <v>1</v>
      </c>
      <c r="P355" s="142">
        <f t="shared" si="49"/>
        <v>2</v>
      </c>
      <c r="Q355" s="142">
        <f t="shared" ca="1" si="48"/>
        <v>2</v>
      </c>
      <c r="R355" s="142">
        <f t="shared" si="45"/>
        <v>2</v>
      </c>
      <c r="S355" s="218"/>
      <c r="T355" s="218"/>
      <c r="U355" s="219"/>
      <c r="V355" s="220"/>
      <c r="W355" s="218"/>
      <c r="X355" s="220"/>
      <c r="Y355" s="217"/>
      <c r="Z355" s="17"/>
    </row>
    <row r="356" spans="1:26" ht="32.1" customHeight="1" x14ac:dyDescent="0.2">
      <c r="A356" s="44" t="s">
        <v>739</v>
      </c>
      <c r="B356" s="44" t="s">
        <v>750</v>
      </c>
      <c r="C356" s="44" t="s">
        <v>753</v>
      </c>
      <c r="D356" s="44" t="s">
        <v>471</v>
      </c>
      <c r="E356" s="45">
        <f t="shared" si="46"/>
        <v>42</v>
      </c>
      <c r="F356" s="142" t="s">
        <v>649</v>
      </c>
      <c r="G356" s="142" t="s">
        <v>650</v>
      </c>
      <c r="H356" s="142" t="s">
        <v>650</v>
      </c>
      <c r="I356" s="142" t="s">
        <v>651</v>
      </c>
      <c r="J356" s="142" t="s">
        <v>651</v>
      </c>
      <c r="K356" s="142" t="s">
        <v>210</v>
      </c>
      <c r="L356" s="142">
        <v>2</v>
      </c>
      <c r="M356" s="142" t="str">
        <f t="shared" ca="1" si="47"/>
        <v>Aucune case cochée</v>
      </c>
      <c r="N356" s="142" t="str">
        <f t="shared" ca="1" si="44"/>
        <v>Aucune case cochée</v>
      </c>
      <c r="O356" s="47">
        <v>1</v>
      </c>
      <c r="P356" s="142">
        <f t="shared" si="49"/>
        <v>2</v>
      </c>
      <c r="Q356" s="142">
        <f t="shared" ca="1" si="48"/>
        <v>2</v>
      </c>
      <c r="R356" s="142">
        <f t="shared" si="45"/>
        <v>2</v>
      </c>
      <c r="S356" s="218">
        <f>SUM(P356:P364)</f>
        <v>14</v>
      </c>
      <c r="T356" s="218">
        <f>SUM(R356:R364)</f>
        <v>20</v>
      </c>
      <c r="U356" s="219">
        <f>+S356/T356</f>
        <v>0.7</v>
      </c>
      <c r="V356" s="220">
        <v>7.4999999999999997E-2</v>
      </c>
      <c r="W356" s="218"/>
      <c r="X356" s="220"/>
      <c r="Y356" s="217"/>
      <c r="Z356" s="17"/>
    </row>
    <row r="357" spans="1:26" ht="32.1" customHeight="1" x14ac:dyDescent="0.2">
      <c r="A357" s="44" t="s">
        <v>739</v>
      </c>
      <c r="B357" s="44" t="s">
        <v>750</v>
      </c>
      <c r="C357" s="44" t="s">
        <v>753</v>
      </c>
      <c r="D357" s="44" t="s">
        <v>472</v>
      </c>
      <c r="E357" s="45">
        <f t="shared" si="46"/>
        <v>44</v>
      </c>
      <c r="F357" s="142" t="s">
        <v>649</v>
      </c>
      <c r="G357" s="142" t="s">
        <v>650</v>
      </c>
      <c r="H357" s="142" t="s">
        <v>650</v>
      </c>
      <c r="I357" s="142" t="s">
        <v>651</v>
      </c>
      <c r="J357" s="142" t="s">
        <v>650</v>
      </c>
      <c r="K357" s="142" t="s">
        <v>650</v>
      </c>
      <c r="L357" s="142">
        <v>2</v>
      </c>
      <c r="M357" s="142" t="str">
        <f t="shared" ca="1" si="47"/>
        <v>Aucune case cochée</v>
      </c>
      <c r="N357" s="142" t="str">
        <f t="shared" ca="1" si="44"/>
        <v>Aucune case cochée</v>
      </c>
      <c r="O357" s="47">
        <v>1</v>
      </c>
      <c r="P357" s="142">
        <f t="shared" si="49"/>
        <v>2</v>
      </c>
      <c r="Q357" s="142">
        <f t="shared" ca="1" si="48"/>
        <v>2</v>
      </c>
      <c r="R357" s="142">
        <f t="shared" si="45"/>
        <v>2</v>
      </c>
      <c r="S357" s="218"/>
      <c r="T357" s="218"/>
      <c r="U357" s="219"/>
      <c r="V357" s="220"/>
      <c r="W357" s="218"/>
      <c r="X357" s="220"/>
      <c r="Y357" s="217"/>
      <c r="Z357" s="17"/>
    </row>
    <row r="358" spans="1:26" ht="32.1" customHeight="1" x14ac:dyDescent="0.2">
      <c r="A358" s="44" t="s">
        <v>739</v>
      </c>
      <c r="B358" s="44" t="s">
        <v>750</v>
      </c>
      <c r="C358" s="44" t="s">
        <v>753</v>
      </c>
      <c r="D358" s="44" t="s">
        <v>473</v>
      </c>
      <c r="E358" s="45">
        <f t="shared" si="46"/>
        <v>46</v>
      </c>
      <c r="F358" s="142" t="s">
        <v>649</v>
      </c>
      <c r="G358" s="142" t="s">
        <v>650</v>
      </c>
      <c r="H358" s="142" t="s">
        <v>651</v>
      </c>
      <c r="I358" s="142" t="s">
        <v>651</v>
      </c>
      <c r="J358" s="142" t="s">
        <v>210</v>
      </c>
      <c r="K358" s="142" t="s">
        <v>210</v>
      </c>
      <c r="L358" s="142">
        <v>2</v>
      </c>
      <c r="M358" s="142" t="str">
        <f t="shared" ca="1" si="47"/>
        <v>Aucune case cochée</v>
      </c>
      <c r="N358" s="142" t="str">
        <f t="shared" ca="1" si="44"/>
        <v>Aucune case cochée</v>
      </c>
      <c r="O358" s="47">
        <v>1</v>
      </c>
      <c r="P358" s="142">
        <f t="shared" si="49"/>
        <v>2</v>
      </c>
      <c r="Q358" s="142">
        <f t="shared" ca="1" si="48"/>
        <v>2</v>
      </c>
      <c r="R358" s="142">
        <f t="shared" si="45"/>
        <v>2</v>
      </c>
      <c r="S358" s="218"/>
      <c r="T358" s="218"/>
      <c r="U358" s="219"/>
      <c r="V358" s="220"/>
      <c r="W358" s="218"/>
      <c r="X358" s="220"/>
      <c r="Y358" s="217"/>
      <c r="Z358" s="17"/>
    </row>
    <row r="359" spans="1:26" ht="32.1" customHeight="1" x14ac:dyDescent="0.2">
      <c r="A359" s="44" t="s">
        <v>739</v>
      </c>
      <c r="B359" s="44" t="s">
        <v>750</v>
      </c>
      <c r="C359" s="44" t="s">
        <v>753</v>
      </c>
      <c r="D359" s="44" t="s">
        <v>474</v>
      </c>
      <c r="E359" s="45">
        <f t="shared" si="46"/>
        <v>48</v>
      </c>
      <c r="F359" s="142" t="s">
        <v>649</v>
      </c>
      <c r="G359" s="142" t="s">
        <v>650</v>
      </c>
      <c r="H359" s="142" t="s">
        <v>650</v>
      </c>
      <c r="I359" s="142" t="s">
        <v>650</v>
      </c>
      <c r="J359" s="142" t="s">
        <v>210</v>
      </c>
      <c r="K359" s="142" t="s">
        <v>210</v>
      </c>
      <c r="L359" s="142">
        <v>2</v>
      </c>
      <c r="M359" s="142" t="str">
        <f t="shared" ca="1" si="47"/>
        <v>Aucune case cochée</v>
      </c>
      <c r="N359" s="142" t="str">
        <f t="shared" ca="1" si="44"/>
        <v>Aucune case cochée</v>
      </c>
      <c r="O359" s="47">
        <v>1</v>
      </c>
      <c r="P359" s="142">
        <f t="shared" si="49"/>
        <v>2</v>
      </c>
      <c r="Q359" s="142">
        <f t="shared" ca="1" si="48"/>
        <v>2</v>
      </c>
      <c r="R359" s="142">
        <f t="shared" si="45"/>
        <v>2</v>
      </c>
      <c r="S359" s="218"/>
      <c r="T359" s="218"/>
      <c r="U359" s="219"/>
      <c r="V359" s="220"/>
      <c r="W359" s="218"/>
      <c r="X359" s="220"/>
      <c r="Y359" s="217"/>
      <c r="Z359" s="17"/>
    </row>
    <row r="360" spans="1:26" ht="32.1" customHeight="1" x14ac:dyDescent="0.2">
      <c r="A360" s="44" t="s">
        <v>739</v>
      </c>
      <c r="B360" s="44" t="s">
        <v>750</v>
      </c>
      <c r="C360" s="44" t="s">
        <v>753</v>
      </c>
      <c r="D360" s="44" t="s">
        <v>475</v>
      </c>
      <c r="E360" s="45">
        <f t="shared" si="46"/>
        <v>50</v>
      </c>
      <c r="F360" s="142" t="s">
        <v>649</v>
      </c>
      <c r="G360" s="142" t="s">
        <v>650</v>
      </c>
      <c r="H360" s="142" t="s">
        <v>650</v>
      </c>
      <c r="I360" s="142" t="s">
        <v>650</v>
      </c>
      <c r="J360" s="142" t="s">
        <v>210</v>
      </c>
      <c r="K360" s="142" t="s">
        <v>210</v>
      </c>
      <c r="L360" s="142">
        <v>2</v>
      </c>
      <c r="M360" s="142" t="str">
        <f t="shared" ca="1" si="47"/>
        <v>Aucune case cochée</v>
      </c>
      <c r="N360" s="142" t="str">
        <f t="shared" ca="1" si="44"/>
        <v>Aucune case cochée</v>
      </c>
      <c r="O360" s="47">
        <v>1</v>
      </c>
      <c r="P360" s="142">
        <f t="shared" si="49"/>
        <v>2</v>
      </c>
      <c r="Q360" s="142">
        <f t="shared" ca="1" si="48"/>
        <v>2</v>
      </c>
      <c r="R360" s="142">
        <f t="shared" si="45"/>
        <v>2</v>
      </c>
      <c r="S360" s="218"/>
      <c r="T360" s="218"/>
      <c r="U360" s="219"/>
      <c r="V360" s="220"/>
      <c r="W360" s="218"/>
      <c r="X360" s="220"/>
      <c r="Y360" s="217"/>
      <c r="Z360" s="17"/>
    </row>
    <row r="361" spans="1:26" ht="32.1" customHeight="1" x14ac:dyDescent="0.2">
      <c r="A361" s="44" t="s">
        <v>739</v>
      </c>
      <c r="B361" s="44" t="s">
        <v>750</v>
      </c>
      <c r="C361" s="44" t="s">
        <v>753</v>
      </c>
      <c r="D361" s="44" t="s">
        <v>476</v>
      </c>
      <c r="E361" s="45">
        <f t="shared" si="46"/>
        <v>52</v>
      </c>
      <c r="F361" s="142" t="s">
        <v>649</v>
      </c>
      <c r="G361" s="142" t="s">
        <v>650</v>
      </c>
      <c r="H361" s="142" t="s">
        <v>651</v>
      </c>
      <c r="I361" s="142" t="s">
        <v>651</v>
      </c>
      <c r="J361" s="142" t="s">
        <v>651</v>
      </c>
      <c r="K361" s="142" t="s">
        <v>210</v>
      </c>
      <c r="L361" s="142">
        <v>2</v>
      </c>
      <c r="M361" s="142" t="str">
        <f t="shared" ca="1" si="47"/>
        <v>Aucune case cochée</v>
      </c>
      <c r="N361" s="142" t="str">
        <f t="shared" ca="1" si="44"/>
        <v>Aucune case cochée</v>
      </c>
      <c r="O361" s="47">
        <v>1</v>
      </c>
      <c r="P361" s="142">
        <f t="shared" si="49"/>
        <v>2</v>
      </c>
      <c r="Q361" s="142">
        <f t="shared" ca="1" si="48"/>
        <v>2</v>
      </c>
      <c r="R361" s="142">
        <f t="shared" si="45"/>
        <v>2</v>
      </c>
      <c r="S361" s="218"/>
      <c r="T361" s="218"/>
      <c r="U361" s="219"/>
      <c r="V361" s="220"/>
      <c r="W361" s="218"/>
      <c r="X361" s="220"/>
      <c r="Y361" s="217"/>
      <c r="Z361" s="17"/>
    </row>
    <row r="362" spans="1:26" ht="32.1" customHeight="1" x14ac:dyDescent="0.2">
      <c r="A362" s="44" t="s">
        <v>739</v>
      </c>
      <c r="B362" s="44" t="s">
        <v>750</v>
      </c>
      <c r="C362" s="44" t="s">
        <v>753</v>
      </c>
      <c r="D362" s="44" t="s">
        <v>477</v>
      </c>
      <c r="E362" s="45">
        <f t="shared" si="46"/>
        <v>54</v>
      </c>
      <c r="F362" s="142" t="s">
        <v>649</v>
      </c>
      <c r="G362" s="142" t="s">
        <v>651</v>
      </c>
      <c r="H362" s="142" t="s">
        <v>651</v>
      </c>
      <c r="I362" s="142" t="s">
        <v>210</v>
      </c>
      <c r="J362" s="142" t="s">
        <v>210</v>
      </c>
      <c r="K362" s="142" t="s">
        <v>210</v>
      </c>
      <c r="L362" s="142">
        <v>2</v>
      </c>
      <c r="M362" s="142" t="str">
        <f t="shared" ca="1" si="47"/>
        <v>Aucune case cochée</v>
      </c>
      <c r="N362" s="142" t="str">
        <f t="shared" ca="1" si="44"/>
        <v>Aucune case cochée</v>
      </c>
      <c r="O362" s="47">
        <v>1</v>
      </c>
      <c r="P362" s="142">
        <f t="shared" si="49"/>
        <v>2</v>
      </c>
      <c r="Q362" s="142">
        <f t="shared" ca="1" si="48"/>
        <v>2</v>
      </c>
      <c r="R362" s="142">
        <f t="shared" si="45"/>
        <v>2</v>
      </c>
      <c r="S362" s="218"/>
      <c r="T362" s="218"/>
      <c r="U362" s="219"/>
      <c r="V362" s="220"/>
      <c r="W362" s="218"/>
      <c r="X362" s="220"/>
      <c r="Y362" s="217"/>
      <c r="Z362" s="17"/>
    </row>
    <row r="363" spans="1:26" ht="32.1" customHeight="1" x14ac:dyDescent="0.2">
      <c r="A363" s="44" t="s">
        <v>739</v>
      </c>
      <c r="B363" s="44" t="s">
        <v>750</v>
      </c>
      <c r="C363" s="44" t="s">
        <v>753</v>
      </c>
      <c r="D363" s="44" t="s">
        <v>478</v>
      </c>
      <c r="E363" s="45">
        <f t="shared" si="46"/>
        <v>56</v>
      </c>
      <c r="F363" s="142" t="s">
        <v>656</v>
      </c>
      <c r="G363" s="142" t="s">
        <v>650</v>
      </c>
      <c r="H363" s="142" t="s">
        <v>650</v>
      </c>
      <c r="I363" s="142" t="s">
        <v>650</v>
      </c>
      <c r="J363" s="142" t="s">
        <v>650</v>
      </c>
      <c r="K363" s="142" t="s">
        <v>650</v>
      </c>
      <c r="L363" s="142">
        <v>1</v>
      </c>
      <c r="M363" s="142" t="str">
        <f t="shared" ca="1" si="47"/>
        <v>Aucune case cochée</v>
      </c>
      <c r="N363" s="142" t="str">
        <f t="shared" ca="1" si="44"/>
        <v>Aucune case cochée</v>
      </c>
      <c r="O363" s="47">
        <v>0</v>
      </c>
      <c r="P363" s="142">
        <f t="shared" si="49"/>
        <v>0</v>
      </c>
      <c r="Q363" s="142">
        <f t="shared" ca="1" si="48"/>
        <v>3</v>
      </c>
      <c r="R363" s="142">
        <f t="shared" si="45"/>
        <v>3</v>
      </c>
      <c r="S363" s="218"/>
      <c r="T363" s="218"/>
      <c r="U363" s="219"/>
      <c r="V363" s="220"/>
      <c r="W363" s="218"/>
      <c r="X363" s="220"/>
      <c r="Y363" s="217"/>
      <c r="Z363" s="17"/>
    </row>
    <row r="364" spans="1:26" ht="32.1" customHeight="1" x14ac:dyDescent="0.2">
      <c r="A364" s="44" t="s">
        <v>739</v>
      </c>
      <c r="B364" s="44" t="s">
        <v>750</v>
      </c>
      <c r="C364" s="44" t="s">
        <v>753</v>
      </c>
      <c r="D364" s="44" t="s">
        <v>479</v>
      </c>
      <c r="E364" s="45">
        <f t="shared" si="46"/>
        <v>58</v>
      </c>
      <c r="F364" s="142" t="s">
        <v>656</v>
      </c>
      <c r="G364" s="142" t="s">
        <v>650</v>
      </c>
      <c r="H364" s="142" t="s">
        <v>650</v>
      </c>
      <c r="I364" s="142" t="s">
        <v>650</v>
      </c>
      <c r="J364" s="142" t="s">
        <v>650</v>
      </c>
      <c r="K364" s="142" t="s">
        <v>650</v>
      </c>
      <c r="L364" s="142">
        <v>1</v>
      </c>
      <c r="M364" s="142" t="str">
        <f t="shared" ca="1" si="47"/>
        <v>Aucune case cochée</v>
      </c>
      <c r="N364" s="142" t="str">
        <f t="shared" ca="1" si="44"/>
        <v>Aucune case cochée</v>
      </c>
      <c r="O364" s="47">
        <v>0</v>
      </c>
      <c r="P364" s="142">
        <f t="shared" si="49"/>
        <v>0</v>
      </c>
      <c r="Q364" s="142">
        <f t="shared" ca="1" si="48"/>
        <v>3</v>
      </c>
      <c r="R364" s="142">
        <f t="shared" si="45"/>
        <v>3</v>
      </c>
      <c r="S364" s="218"/>
      <c r="T364" s="218"/>
      <c r="U364" s="219"/>
      <c r="V364" s="220"/>
      <c r="W364" s="218"/>
      <c r="X364" s="220"/>
      <c r="Y364" s="217"/>
      <c r="Z364" s="17"/>
    </row>
    <row r="365" spans="1:26" ht="32.1" customHeight="1" x14ac:dyDescent="0.2">
      <c r="A365" s="44" t="s">
        <v>739</v>
      </c>
      <c r="B365" s="44" t="s">
        <v>754</v>
      </c>
      <c r="C365" s="44" t="s">
        <v>755</v>
      </c>
      <c r="D365" s="44" t="s">
        <v>482</v>
      </c>
      <c r="E365" s="45">
        <f t="shared" si="46"/>
        <v>10</v>
      </c>
      <c r="F365" s="142" t="s">
        <v>649</v>
      </c>
      <c r="G365" s="142" t="s">
        <v>650</v>
      </c>
      <c r="H365" s="142" t="s">
        <v>650</v>
      </c>
      <c r="I365" s="142" t="s">
        <v>651</v>
      </c>
      <c r="J365" s="142" t="s">
        <v>210</v>
      </c>
      <c r="K365" s="142" t="s">
        <v>210</v>
      </c>
      <c r="L365" s="142">
        <v>2</v>
      </c>
      <c r="M365" s="142" t="str">
        <f t="shared" ca="1" si="47"/>
        <v>Aucune case cochée</v>
      </c>
      <c r="N365" s="142" t="str">
        <f t="shared" ca="1" si="44"/>
        <v>Aucune case cochée</v>
      </c>
      <c r="O365" s="47">
        <v>1</v>
      </c>
      <c r="P365" s="142">
        <f t="shared" si="49"/>
        <v>2</v>
      </c>
      <c r="Q365" s="142">
        <f t="shared" ca="1" si="48"/>
        <v>2</v>
      </c>
      <c r="R365" s="142">
        <f t="shared" si="45"/>
        <v>2</v>
      </c>
      <c r="S365" s="218">
        <f>SUM(P365:P375)</f>
        <v>18</v>
      </c>
      <c r="T365" s="218">
        <f>SUM(R365:R375)</f>
        <v>24</v>
      </c>
      <c r="U365" s="219">
        <f>+S365/T365</f>
        <v>0.75</v>
      </c>
      <c r="V365" s="220">
        <v>0.1</v>
      </c>
      <c r="W365" s="218"/>
      <c r="X365" s="220"/>
      <c r="Y365" s="217"/>
      <c r="Z365" s="17"/>
    </row>
    <row r="366" spans="1:26" ht="32.1" customHeight="1" x14ac:dyDescent="0.2">
      <c r="A366" s="44" t="s">
        <v>739</v>
      </c>
      <c r="B366" s="44" t="s">
        <v>754</v>
      </c>
      <c r="C366" s="44" t="s">
        <v>755</v>
      </c>
      <c r="D366" s="44" t="s">
        <v>483</v>
      </c>
      <c r="E366" s="45">
        <f t="shared" si="46"/>
        <v>12</v>
      </c>
      <c r="F366" s="142" t="s">
        <v>649</v>
      </c>
      <c r="G366" s="142" t="s">
        <v>650</v>
      </c>
      <c r="H366" s="142" t="s">
        <v>651</v>
      </c>
      <c r="I366" s="142" t="s">
        <v>651</v>
      </c>
      <c r="J366" s="142" t="s">
        <v>210</v>
      </c>
      <c r="K366" s="142" t="s">
        <v>210</v>
      </c>
      <c r="L366" s="142">
        <v>2</v>
      </c>
      <c r="M366" s="142" t="str">
        <f t="shared" ca="1" si="47"/>
        <v>Aucune case cochée</v>
      </c>
      <c r="N366" s="142" t="str">
        <f t="shared" ca="1" si="44"/>
        <v>Aucune case cochée</v>
      </c>
      <c r="O366" s="47">
        <v>1</v>
      </c>
      <c r="P366" s="142">
        <f t="shared" si="49"/>
        <v>2</v>
      </c>
      <c r="Q366" s="142">
        <f t="shared" ca="1" si="48"/>
        <v>2</v>
      </c>
      <c r="R366" s="142">
        <f t="shared" si="45"/>
        <v>2</v>
      </c>
      <c r="S366" s="218"/>
      <c r="T366" s="218"/>
      <c r="U366" s="219"/>
      <c r="V366" s="220"/>
      <c r="W366" s="218"/>
      <c r="X366" s="220"/>
      <c r="Y366" s="217"/>
      <c r="Z366" s="17"/>
    </row>
    <row r="367" spans="1:26" ht="32.1" customHeight="1" x14ac:dyDescent="0.2">
      <c r="A367" s="44" t="s">
        <v>739</v>
      </c>
      <c r="B367" s="44" t="s">
        <v>754</v>
      </c>
      <c r="C367" s="44" t="s">
        <v>755</v>
      </c>
      <c r="D367" s="44" t="s">
        <v>484</v>
      </c>
      <c r="E367" s="45">
        <f t="shared" si="46"/>
        <v>14</v>
      </c>
      <c r="F367" s="142" t="s">
        <v>649</v>
      </c>
      <c r="G367" s="142" t="s">
        <v>650</v>
      </c>
      <c r="H367" s="142" t="s">
        <v>651</v>
      </c>
      <c r="I367" s="142" t="s">
        <v>651</v>
      </c>
      <c r="J367" s="142" t="s">
        <v>210</v>
      </c>
      <c r="K367" s="142" t="s">
        <v>210</v>
      </c>
      <c r="L367" s="142">
        <v>2</v>
      </c>
      <c r="M367" s="142" t="str">
        <f t="shared" ca="1" si="47"/>
        <v>Aucune case cochée</v>
      </c>
      <c r="N367" s="142" t="str">
        <f t="shared" ca="1" si="44"/>
        <v>Aucune case cochée</v>
      </c>
      <c r="O367" s="47">
        <v>1</v>
      </c>
      <c r="P367" s="142">
        <f t="shared" si="49"/>
        <v>2</v>
      </c>
      <c r="Q367" s="142">
        <f t="shared" ca="1" si="48"/>
        <v>2</v>
      </c>
      <c r="R367" s="142">
        <f t="shared" si="45"/>
        <v>2</v>
      </c>
      <c r="S367" s="218"/>
      <c r="T367" s="218"/>
      <c r="U367" s="219"/>
      <c r="V367" s="220"/>
      <c r="W367" s="218"/>
      <c r="X367" s="220"/>
      <c r="Y367" s="217"/>
      <c r="Z367" s="17"/>
    </row>
    <row r="368" spans="1:26" ht="32.1" customHeight="1" x14ac:dyDescent="0.2">
      <c r="A368" s="44" t="s">
        <v>739</v>
      </c>
      <c r="B368" s="44" t="s">
        <v>754</v>
      </c>
      <c r="C368" s="44" t="s">
        <v>755</v>
      </c>
      <c r="D368" s="44" t="s">
        <v>485</v>
      </c>
      <c r="E368" s="45">
        <f t="shared" si="46"/>
        <v>16</v>
      </c>
      <c r="F368" s="142" t="s">
        <v>649</v>
      </c>
      <c r="G368" s="142" t="s">
        <v>650</v>
      </c>
      <c r="H368" s="142" t="s">
        <v>651</v>
      </c>
      <c r="I368" s="142" t="s">
        <v>651</v>
      </c>
      <c r="J368" s="142" t="s">
        <v>210</v>
      </c>
      <c r="K368" s="142" t="s">
        <v>210</v>
      </c>
      <c r="L368" s="142">
        <v>2</v>
      </c>
      <c r="M368" s="142" t="str">
        <f t="shared" ca="1" si="47"/>
        <v>Aucune case cochée</v>
      </c>
      <c r="N368" s="142" t="str">
        <f t="shared" ca="1" si="44"/>
        <v>Aucune case cochée</v>
      </c>
      <c r="O368" s="47">
        <v>1</v>
      </c>
      <c r="P368" s="142">
        <f t="shared" si="49"/>
        <v>2</v>
      </c>
      <c r="Q368" s="142">
        <f t="shared" ca="1" si="48"/>
        <v>2</v>
      </c>
      <c r="R368" s="142">
        <f t="shared" si="45"/>
        <v>2</v>
      </c>
      <c r="S368" s="218"/>
      <c r="T368" s="218"/>
      <c r="U368" s="219"/>
      <c r="V368" s="220"/>
      <c r="W368" s="218"/>
      <c r="X368" s="220"/>
      <c r="Y368" s="217"/>
      <c r="Z368" s="17"/>
    </row>
    <row r="369" spans="1:26" ht="32.1" customHeight="1" x14ac:dyDescent="0.2">
      <c r="A369" s="44" t="s">
        <v>739</v>
      </c>
      <c r="B369" s="44" t="s">
        <v>754</v>
      </c>
      <c r="C369" s="44" t="s">
        <v>755</v>
      </c>
      <c r="D369" s="44" t="s">
        <v>486</v>
      </c>
      <c r="E369" s="45">
        <f t="shared" si="46"/>
        <v>18</v>
      </c>
      <c r="F369" s="142" t="s">
        <v>649</v>
      </c>
      <c r="G369" s="142" t="s">
        <v>650</v>
      </c>
      <c r="H369" s="142" t="s">
        <v>651</v>
      </c>
      <c r="I369" s="142" t="s">
        <v>651</v>
      </c>
      <c r="J369" s="142" t="s">
        <v>210</v>
      </c>
      <c r="K369" s="142" t="s">
        <v>210</v>
      </c>
      <c r="L369" s="142">
        <v>2</v>
      </c>
      <c r="M369" s="142" t="str">
        <f t="shared" ca="1" si="47"/>
        <v>Aucune case cochée</v>
      </c>
      <c r="N369" s="142" t="str">
        <f t="shared" ca="1" si="44"/>
        <v>Aucune case cochée</v>
      </c>
      <c r="O369" s="47">
        <v>1</v>
      </c>
      <c r="P369" s="142">
        <f t="shared" si="49"/>
        <v>2</v>
      </c>
      <c r="Q369" s="142">
        <f t="shared" ca="1" si="48"/>
        <v>2</v>
      </c>
      <c r="R369" s="142">
        <f t="shared" si="45"/>
        <v>2</v>
      </c>
      <c r="S369" s="218"/>
      <c r="T369" s="218"/>
      <c r="U369" s="219"/>
      <c r="V369" s="220"/>
      <c r="W369" s="218"/>
      <c r="X369" s="220"/>
      <c r="Y369" s="217"/>
      <c r="Z369" s="17"/>
    </row>
    <row r="370" spans="1:26" ht="32.1" customHeight="1" x14ac:dyDescent="0.2">
      <c r="A370" s="44" t="s">
        <v>739</v>
      </c>
      <c r="B370" s="44" t="s">
        <v>754</v>
      </c>
      <c r="C370" s="44" t="s">
        <v>755</v>
      </c>
      <c r="D370" s="44" t="s">
        <v>487</v>
      </c>
      <c r="E370" s="45">
        <f t="shared" si="46"/>
        <v>20</v>
      </c>
      <c r="F370" s="142" t="s">
        <v>649</v>
      </c>
      <c r="G370" s="142" t="s">
        <v>651</v>
      </c>
      <c r="H370" s="142" t="s">
        <v>651</v>
      </c>
      <c r="I370" s="142" t="s">
        <v>651</v>
      </c>
      <c r="J370" s="142" t="s">
        <v>210</v>
      </c>
      <c r="K370" s="142" t="s">
        <v>210</v>
      </c>
      <c r="L370" s="142">
        <v>2</v>
      </c>
      <c r="M370" s="142" t="str">
        <f t="shared" ca="1" si="47"/>
        <v>Aucune case cochée</v>
      </c>
      <c r="N370" s="142" t="str">
        <f t="shared" ca="1" si="44"/>
        <v>Aucune case cochée</v>
      </c>
      <c r="O370" s="47">
        <v>1</v>
      </c>
      <c r="P370" s="142">
        <f t="shared" si="49"/>
        <v>2</v>
      </c>
      <c r="Q370" s="142">
        <f t="shared" ca="1" si="48"/>
        <v>2</v>
      </c>
      <c r="R370" s="142">
        <f t="shared" si="45"/>
        <v>2</v>
      </c>
      <c r="S370" s="218"/>
      <c r="T370" s="218"/>
      <c r="U370" s="219"/>
      <c r="V370" s="220"/>
      <c r="W370" s="218"/>
      <c r="X370" s="220"/>
      <c r="Y370" s="217"/>
      <c r="Z370" s="17"/>
    </row>
    <row r="371" spans="1:26" ht="32.1" customHeight="1" x14ac:dyDescent="0.2">
      <c r="A371" s="44" t="s">
        <v>739</v>
      </c>
      <c r="B371" s="44" t="s">
        <v>754</v>
      </c>
      <c r="C371" s="44" t="s">
        <v>755</v>
      </c>
      <c r="D371" s="44" t="s">
        <v>488</v>
      </c>
      <c r="E371" s="45">
        <f t="shared" si="46"/>
        <v>22</v>
      </c>
      <c r="F371" s="142" t="s">
        <v>649</v>
      </c>
      <c r="G371" s="142" t="s">
        <v>651</v>
      </c>
      <c r="H371" s="142" t="s">
        <v>651</v>
      </c>
      <c r="I371" s="142" t="s">
        <v>210</v>
      </c>
      <c r="J371" s="142" t="s">
        <v>210</v>
      </c>
      <c r="K371" s="142" t="s">
        <v>210</v>
      </c>
      <c r="L371" s="142">
        <v>2</v>
      </c>
      <c r="M371" s="142" t="str">
        <f t="shared" ca="1" si="47"/>
        <v>Aucune case cochée</v>
      </c>
      <c r="N371" s="142" t="str">
        <f t="shared" ca="1" si="44"/>
        <v>Aucune case cochée</v>
      </c>
      <c r="O371" s="47">
        <v>1</v>
      </c>
      <c r="P371" s="142">
        <f t="shared" si="49"/>
        <v>2</v>
      </c>
      <c r="Q371" s="142">
        <f t="shared" ca="1" si="48"/>
        <v>2</v>
      </c>
      <c r="R371" s="142">
        <f t="shared" si="45"/>
        <v>2</v>
      </c>
      <c r="S371" s="218"/>
      <c r="T371" s="218"/>
      <c r="U371" s="219"/>
      <c r="V371" s="220"/>
      <c r="W371" s="218"/>
      <c r="X371" s="220"/>
      <c r="Y371" s="217"/>
      <c r="Z371" s="17"/>
    </row>
    <row r="372" spans="1:26" ht="32.1" customHeight="1" x14ac:dyDescent="0.2">
      <c r="A372" s="44" t="s">
        <v>739</v>
      </c>
      <c r="B372" s="44" t="s">
        <v>754</v>
      </c>
      <c r="C372" s="44" t="s">
        <v>755</v>
      </c>
      <c r="D372" s="44" t="s">
        <v>489</v>
      </c>
      <c r="E372" s="45">
        <f t="shared" si="46"/>
        <v>24</v>
      </c>
      <c r="F372" s="142" t="s">
        <v>649</v>
      </c>
      <c r="G372" s="142" t="s">
        <v>651</v>
      </c>
      <c r="H372" s="142" t="s">
        <v>651</v>
      </c>
      <c r="I372" s="142" t="s">
        <v>210</v>
      </c>
      <c r="J372" s="142" t="s">
        <v>210</v>
      </c>
      <c r="K372" s="142" t="s">
        <v>210</v>
      </c>
      <c r="L372" s="142">
        <v>2</v>
      </c>
      <c r="M372" s="142" t="str">
        <f t="shared" ca="1" si="47"/>
        <v>Aucune case cochée</v>
      </c>
      <c r="N372" s="142" t="str">
        <f t="shared" ca="1" si="44"/>
        <v>Aucune case cochée</v>
      </c>
      <c r="O372" s="47">
        <v>1</v>
      </c>
      <c r="P372" s="142">
        <f t="shared" si="49"/>
        <v>2</v>
      </c>
      <c r="Q372" s="142">
        <f t="shared" ca="1" si="48"/>
        <v>2</v>
      </c>
      <c r="R372" s="142">
        <f t="shared" si="45"/>
        <v>2</v>
      </c>
      <c r="S372" s="218"/>
      <c r="T372" s="218"/>
      <c r="U372" s="219"/>
      <c r="V372" s="220"/>
      <c r="W372" s="218"/>
      <c r="X372" s="220"/>
      <c r="Y372" s="217"/>
      <c r="Z372" s="17"/>
    </row>
    <row r="373" spans="1:26" ht="32.1" customHeight="1" x14ac:dyDescent="0.2">
      <c r="A373" s="44" t="s">
        <v>739</v>
      </c>
      <c r="B373" s="44" t="s">
        <v>754</v>
      </c>
      <c r="C373" s="44" t="s">
        <v>755</v>
      </c>
      <c r="D373" s="44" t="s">
        <v>490</v>
      </c>
      <c r="E373" s="45">
        <f t="shared" si="46"/>
        <v>26</v>
      </c>
      <c r="F373" s="142" t="s">
        <v>649</v>
      </c>
      <c r="G373" s="142" t="s">
        <v>650</v>
      </c>
      <c r="H373" s="142" t="s">
        <v>650</v>
      </c>
      <c r="I373" s="142" t="s">
        <v>651</v>
      </c>
      <c r="J373" s="142" t="s">
        <v>210</v>
      </c>
      <c r="K373" s="142" t="s">
        <v>210</v>
      </c>
      <c r="L373" s="142">
        <v>2</v>
      </c>
      <c r="M373" s="142" t="str">
        <f t="shared" ca="1" si="47"/>
        <v>Aucune case cochée</v>
      </c>
      <c r="N373" s="142" t="str">
        <f t="shared" ca="1" si="44"/>
        <v>Aucune case cochée</v>
      </c>
      <c r="O373" s="47">
        <v>1</v>
      </c>
      <c r="P373" s="142">
        <f t="shared" si="49"/>
        <v>2</v>
      </c>
      <c r="Q373" s="142">
        <f t="shared" ca="1" si="48"/>
        <v>2</v>
      </c>
      <c r="R373" s="142">
        <f t="shared" si="45"/>
        <v>2</v>
      </c>
      <c r="S373" s="218"/>
      <c r="T373" s="218"/>
      <c r="U373" s="219"/>
      <c r="V373" s="220"/>
      <c r="W373" s="218"/>
      <c r="X373" s="220"/>
      <c r="Y373" s="217"/>
      <c r="Z373" s="17"/>
    </row>
    <row r="374" spans="1:26" ht="32.1" customHeight="1" x14ac:dyDescent="0.2">
      <c r="A374" s="44" t="s">
        <v>739</v>
      </c>
      <c r="B374" s="44" t="s">
        <v>754</v>
      </c>
      <c r="C374" s="44" t="s">
        <v>755</v>
      </c>
      <c r="D374" s="44" t="s">
        <v>491</v>
      </c>
      <c r="E374" s="45">
        <f t="shared" si="46"/>
        <v>28</v>
      </c>
      <c r="F374" s="142" t="s">
        <v>656</v>
      </c>
      <c r="G374" s="142" t="s">
        <v>650</v>
      </c>
      <c r="H374" s="142" t="s">
        <v>650</v>
      </c>
      <c r="I374" s="142" t="s">
        <v>650</v>
      </c>
      <c r="J374" s="142" t="s">
        <v>210</v>
      </c>
      <c r="K374" s="142" t="s">
        <v>210</v>
      </c>
      <c r="L374" s="142">
        <v>1</v>
      </c>
      <c r="M374" s="142" t="str">
        <f t="shared" ca="1" si="47"/>
        <v>Aucune case cochée</v>
      </c>
      <c r="N374" s="142" t="str">
        <f t="shared" ca="1" si="44"/>
        <v>Aucune case cochée</v>
      </c>
      <c r="O374" s="47">
        <v>0</v>
      </c>
      <c r="P374" s="142">
        <f t="shared" si="49"/>
        <v>0</v>
      </c>
      <c r="Q374" s="142">
        <f t="shared" ca="1" si="48"/>
        <v>3</v>
      </c>
      <c r="R374" s="142">
        <f t="shared" si="45"/>
        <v>3</v>
      </c>
      <c r="S374" s="218"/>
      <c r="T374" s="218"/>
      <c r="U374" s="219"/>
      <c r="V374" s="220"/>
      <c r="W374" s="218"/>
      <c r="X374" s="220"/>
      <c r="Y374" s="217"/>
      <c r="Z374" s="17"/>
    </row>
    <row r="375" spans="1:26" ht="32.1" customHeight="1" x14ac:dyDescent="0.2">
      <c r="A375" s="44" t="s">
        <v>739</v>
      </c>
      <c r="B375" s="44" t="s">
        <v>754</v>
      </c>
      <c r="C375" s="44" t="s">
        <v>755</v>
      </c>
      <c r="D375" s="44" t="s">
        <v>492</v>
      </c>
      <c r="E375" s="45">
        <f t="shared" si="46"/>
        <v>30</v>
      </c>
      <c r="F375" s="142" t="s">
        <v>656</v>
      </c>
      <c r="G375" s="142" t="s">
        <v>650</v>
      </c>
      <c r="H375" s="142" t="s">
        <v>650</v>
      </c>
      <c r="I375" s="142" t="s">
        <v>650</v>
      </c>
      <c r="J375" s="142" t="s">
        <v>210</v>
      </c>
      <c r="K375" s="142" t="s">
        <v>210</v>
      </c>
      <c r="L375" s="142">
        <v>1</v>
      </c>
      <c r="M375" s="142" t="str">
        <f t="shared" ca="1" si="47"/>
        <v>Aucune case cochée</v>
      </c>
      <c r="N375" s="142" t="str">
        <f t="shared" ca="1" si="44"/>
        <v>Aucune case cochée</v>
      </c>
      <c r="O375" s="47">
        <v>0</v>
      </c>
      <c r="P375" s="142">
        <f t="shared" ref="P375:P406" si="50">IF(O375="Non concerné",O375,O375*L375)</f>
        <v>0</v>
      </c>
      <c r="Q375" s="142">
        <f t="shared" ca="1" si="48"/>
        <v>3</v>
      </c>
      <c r="R375" s="142">
        <f t="shared" si="45"/>
        <v>3</v>
      </c>
      <c r="S375" s="218"/>
      <c r="T375" s="218"/>
      <c r="U375" s="219"/>
      <c r="V375" s="220"/>
      <c r="W375" s="218"/>
      <c r="X375" s="220"/>
      <c r="Y375" s="217"/>
      <c r="Z375" s="17"/>
    </row>
    <row r="376" spans="1:26" ht="32.1" customHeight="1" x14ac:dyDescent="0.2">
      <c r="A376" s="44" t="s">
        <v>739</v>
      </c>
      <c r="B376" s="44" t="s">
        <v>754</v>
      </c>
      <c r="C376" s="44" t="s">
        <v>756</v>
      </c>
      <c r="D376" s="44" t="s">
        <v>494</v>
      </c>
      <c r="E376" s="45">
        <f t="shared" si="46"/>
        <v>33</v>
      </c>
      <c r="F376" s="142" t="s">
        <v>649</v>
      </c>
      <c r="G376" s="142" t="s">
        <v>650</v>
      </c>
      <c r="H376" s="142" t="s">
        <v>650</v>
      </c>
      <c r="I376" s="142" t="s">
        <v>650</v>
      </c>
      <c r="J376" s="142" t="s">
        <v>650</v>
      </c>
      <c r="K376" s="142" t="s">
        <v>650</v>
      </c>
      <c r="L376" s="142">
        <v>2</v>
      </c>
      <c r="M376" s="142" t="str">
        <f t="shared" ca="1" si="47"/>
        <v>Aucune case cochée</v>
      </c>
      <c r="N376" s="142" t="str">
        <f t="shared" ref="N376:N439" ca="1" si="51">IF(M376="Aucune case cochée",M376,IF(M376="NC","Non concerné",IF(M376="Oui",1*L376,IF(M376="Non",0,L376*M376))))</f>
        <v>Aucune case cochée</v>
      </c>
      <c r="O376" s="47">
        <v>1</v>
      </c>
      <c r="P376" s="142">
        <f t="shared" si="50"/>
        <v>2</v>
      </c>
      <c r="Q376" s="142">
        <f t="shared" ca="1" si="48"/>
        <v>2</v>
      </c>
      <c r="R376" s="142">
        <f t="shared" si="45"/>
        <v>2</v>
      </c>
      <c r="S376" s="218">
        <f>SUM(P376:P379)</f>
        <v>8</v>
      </c>
      <c r="T376" s="218">
        <f>SUM(R376:R379)</f>
        <v>8</v>
      </c>
      <c r="U376" s="219">
        <f>+S376/T376</f>
        <v>1</v>
      </c>
      <c r="V376" s="220">
        <v>0.1</v>
      </c>
      <c r="W376" s="218"/>
      <c r="X376" s="220"/>
      <c r="Y376" s="217"/>
      <c r="Z376" s="17"/>
    </row>
    <row r="377" spans="1:26" ht="32.1" customHeight="1" x14ac:dyDescent="0.2">
      <c r="A377" s="44" t="s">
        <v>739</v>
      </c>
      <c r="B377" s="44" t="s">
        <v>754</v>
      </c>
      <c r="C377" s="44" t="s">
        <v>756</v>
      </c>
      <c r="D377" s="44" t="s">
        <v>495</v>
      </c>
      <c r="E377" s="45">
        <f t="shared" si="46"/>
        <v>35</v>
      </c>
      <c r="F377" s="142" t="s">
        <v>649</v>
      </c>
      <c r="G377" s="142" t="s">
        <v>650</v>
      </c>
      <c r="H377" s="142" t="s">
        <v>650</v>
      </c>
      <c r="I377" s="142" t="s">
        <v>651</v>
      </c>
      <c r="J377" s="142" t="s">
        <v>651</v>
      </c>
      <c r="K377" s="142" t="s">
        <v>651</v>
      </c>
      <c r="L377" s="142">
        <v>2</v>
      </c>
      <c r="M377" s="142" t="str">
        <f t="shared" ca="1" si="47"/>
        <v>Aucune case cochée</v>
      </c>
      <c r="N377" s="142" t="str">
        <f t="shared" ca="1" si="51"/>
        <v>Aucune case cochée</v>
      </c>
      <c r="O377" s="47">
        <v>1</v>
      </c>
      <c r="P377" s="142">
        <f t="shared" si="50"/>
        <v>2</v>
      </c>
      <c r="Q377" s="142">
        <f t="shared" ca="1" si="48"/>
        <v>2</v>
      </c>
      <c r="R377" s="142">
        <f t="shared" si="45"/>
        <v>2</v>
      </c>
      <c r="S377" s="218"/>
      <c r="T377" s="218"/>
      <c r="U377" s="219"/>
      <c r="V377" s="220"/>
      <c r="W377" s="218"/>
      <c r="X377" s="220"/>
      <c r="Y377" s="217"/>
      <c r="Z377" s="17"/>
    </row>
    <row r="378" spans="1:26" ht="32.1" customHeight="1" x14ac:dyDescent="0.2">
      <c r="A378" s="44" t="s">
        <v>739</v>
      </c>
      <c r="B378" s="44" t="s">
        <v>754</v>
      </c>
      <c r="C378" s="44" t="s">
        <v>756</v>
      </c>
      <c r="D378" s="44" t="s">
        <v>496</v>
      </c>
      <c r="E378" s="45">
        <f t="shared" si="46"/>
        <v>37</v>
      </c>
      <c r="F378" s="142" t="s">
        <v>649</v>
      </c>
      <c r="G378" s="142" t="s">
        <v>651</v>
      </c>
      <c r="H378" s="142" t="s">
        <v>651</v>
      </c>
      <c r="I378" s="142" t="s">
        <v>650</v>
      </c>
      <c r="J378" s="142" t="s">
        <v>210</v>
      </c>
      <c r="K378" s="142" t="s">
        <v>210</v>
      </c>
      <c r="L378" s="142">
        <v>2</v>
      </c>
      <c r="M378" s="142" t="str">
        <f t="shared" ca="1" si="47"/>
        <v>Aucune case cochée</v>
      </c>
      <c r="N378" s="142" t="str">
        <f t="shared" ca="1" si="51"/>
        <v>Aucune case cochée</v>
      </c>
      <c r="O378" s="47">
        <v>1</v>
      </c>
      <c r="P378" s="142">
        <f t="shared" si="50"/>
        <v>2</v>
      </c>
      <c r="Q378" s="142">
        <f t="shared" ca="1" si="48"/>
        <v>2</v>
      </c>
      <c r="R378" s="142">
        <f t="shared" ref="R378:R441" si="52">IF(O378="Non concerné",O378,IF(F378="Binaire",1,3)*L378)</f>
        <v>2</v>
      </c>
      <c r="S378" s="218"/>
      <c r="T378" s="218"/>
      <c r="U378" s="219"/>
      <c r="V378" s="220"/>
      <c r="W378" s="218"/>
      <c r="X378" s="220"/>
      <c r="Y378" s="217"/>
      <c r="Z378" s="17"/>
    </row>
    <row r="379" spans="1:26" ht="32.1" customHeight="1" x14ac:dyDescent="0.2">
      <c r="A379" s="44" t="s">
        <v>739</v>
      </c>
      <c r="B379" s="44" t="s">
        <v>754</v>
      </c>
      <c r="C379" s="44" t="s">
        <v>756</v>
      </c>
      <c r="D379" s="44" t="s">
        <v>497</v>
      </c>
      <c r="E379" s="45">
        <f t="shared" si="46"/>
        <v>39</v>
      </c>
      <c r="F379" s="142" t="s">
        <v>649</v>
      </c>
      <c r="G379" s="142" t="s">
        <v>650</v>
      </c>
      <c r="H379" s="142" t="s">
        <v>651</v>
      </c>
      <c r="I379" s="142" t="s">
        <v>210</v>
      </c>
      <c r="J379" s="142" t="s">
        <v>210</v>
      </c>
      <c r="K379" s="142" t="s">
        <v>210</v>
      </c>
      <c r="L379" s="142">
        <v>2</v>
      </c>
      <c r="M379" s="142" t="str">
        <f t="shared" ca="1" si="47"/>
        <v>Aucune case cochée</v>
      </c>
      <c r="N379" s="142" t="str">
        <f t="shared" ca="1" si="51"/>
        <v>Aucune case cochée</v>
      </c>
      <c r="O379" s="47">
        <v>1</v>
      </c>
      <c r="P379" s="142">
        <f t="shared" si="50"/>
        <v>2</v>
      </c>
      <c r="Q379" s="142">
        <f t="shared" ca="1" si="48"/>
        <v>2</v>
      </c>
      <c r="R379" s="142">
        <f t="shared" si="52"/>
        <v>2</v>
      </c>
      <c r="S379" s="218"/>
      <c r="T379" s="218"/>
      <c r="U379" s="219"/>
      <c r="V379" s="220"/>
      <c r="W379" s="218"/>
      <c r="X379" s="220"/>
      <c r="Y379" s="217"/>
      <c r="Z379" s="17"/>
    </row>
    <row r="380" spans="1:26" ht="32.1" customHeight="1" x14ac:dyDescent="0.2">
      <c r="A380" s="44" t="s">
        <v>757</v>
      </c>
      <c r="B380" s="44" t="s">
        <v>758</v>
      </c>
      <c r="C380" s="44" t="s">
        <v>682</v>
      </c>
      <c r="D380" s="44" t="s">
        <v>499</v>
      </c>
      <c r="E380" s="45">
        <f t="shared" si="46"/>
        <v>10</v>
      </c>
      <c r="F380" s="142" t="s">
        <v>649</v>
      </c>
      <c r="G380" s="142" t="s">
        <v>650</v>
      </c>
      <c r="H380" s="142" t="s">
        <v>650</v>
      </c>
      <c r="I380" s="142" t="s">
        <v>650</v>
      </c>
      <c r="J380" s="142" t="s">
        <v>650</v>
      </c>
      <c r="K380" s="142" t="s">
        <v>650</v>
      </c>
      <c r="L380" s="142">
        <v>2</v>
      </c>
      <c r="M380" s="142" t="str">
        <f t="shared" ca="1" si="47"/>
        <v>Aucune case cochée</v>
      </c>
      <c r="N380" s="142" t="str">
        <f t="shared" ca="1" si="51"/>
        <v>Aucune case cochée</v>
      </c>
      <c r="O380" s="47">
        <v>1</v>
      </c>
      <c r="P380" s="142">
        <f t="shared" si="50"/>
        <v>2</v>
      </c>
      <c r="Q380" s="142">
        <f t="shared" ca="1" si="48"/>
        <v>2</v>
      </c>
      <c r="R380" s="142">
        <f t="shared" si="52"/>
        <v>2</v>
      </c>
      <c r="S380" s="218">
        <f>SUM(P380:P384)</f>
        <v>5</v>
      </c>
      <c r="T380" s="218">
        <f>SUM(R380:R384)</f>
        <v>11</v>
      </c>
      <c r="U380" s="219">
        <f>+S380/T380</f>
        <v>0.45454545454545453</v>
      </c>
      <c r="V380" s="220">
        <v>0.1</v>
      </c>
      <c r="W380" s="222">
        <f>U380*V380+U385*V385+U393*V393+U408*V408+U416*V416+U424*V424+U432*V432+U447*V447</f>
        <v>0.70086251509401409</v>
      </c>
      <c r="X380" s="220">
        <v>0.1</v>
      </c>
      <c r="Y380" s="217"/>
      <c r="Z380" s="17"/>
    </row>
    <row r="381" spans="1:26" ht="32.1" customHeight="1" x14ac:dyDescent="0.2">
      <c r="A381" s="44" t="s">
        <v>757</v>
      </c>
      <c r="B381" s="44" t="s">
        <v>758</v>
      </c>
      <c r="C381" s="44" t="s">
        <v>682</v>
      </c>
      <c r="D381" s="44" t="s">
        <v>114</v>
      </c>
      <c r="E381" s="45">
        <f t="shared" si="46"/>
        <v>12</v>
      </c>
      <c r="F381" s="142" t="s">
        <v>656</v>
      </c>
      <c r="G381" s="142" t="s">
        <v>650</v>
      </c>
      <c r="H381" s="142" t="s">
        <v>650</v>
      </c>
      <c r="I381" s="142" t="s">
        <v>650</v>
      </c>
      <c r="J381" s="142" t="s">
        <v>650</v>
      </c>
      <c r="K381" s="142" t="s">
        <v>650</v>
      </c>
      <c r="L381" s="142">
        <v>1</v>
      </c>
      <c r="M381" s="142" t="str">
        <f t="shared" ca="1" si="47"/>
        <v>Aucune case cochée</v>
      </c>
      <c r="N381" s="142" t="str">
        <f t="shared" ca="1" si="51"/>
        <v>Aucune case cochée</v>
      </c>
      <c r="O381" s="47">
        <v>0</v>
      </c>
      <c r="P381" s="142">
        <f t="shared" si="50"/>
        <v>0</v>
      </c>
      <c r="Q381" s="142">
        <f t="shared" ca="1" si="48"/>
        <v>3</v>
      </c>
      <c r="R381" s="142">
        <f t="shared" si="52"/>
        <v>3</v>
      </c>
      <c r="S381" s="218"/>
      <c r="T381" s="218"/>
      <c r="U381" s="219"/>
      <c r="V381" s="220"/>
      <c r="W381" s="218"/>
      <c r="X381" s="220"/>
      <c r="Y381" s="217"/>
      <c r="Z381" s="17"/>
    </row>
    <row r="382" spans="1:26" ht="32.1" customHeight="1" x14ac:dyDescent="0.2">
      <c r="A382" s="44" t="s">
        <v>757</v>
      </c>
      <c r="B382" s="44" t="s">
        <v>758</v>
      </c>
      <c r="C382" s="44" t="s">
        <v>682</v>
      </c>
      <c r="D382" s="44" t="s">
        <v>115</v>
      </c>
      <c r="E382" s="45">
        <f t="shared" si="46"/>
        <v>14</v>
      </c>
      <c r="F382" s="142" t="s">
        <v>656</v>
      </c>
      <c r="G382" s="142" t="s">
        <v>650</v>
      </c>
      <c r="H382" s="142" t="s">
        <v>650</v>
      </c>
      <c r="I382" s="142" t="s">
        <v>650</v>
      </c>
      <c r="J382" s="142" t="s">
        <v>650</v>
      </c>
      <c r="K382" s="142" t="s">
        <v>650</v>
      </c>
      <c r="L382" s="142">
        <v>1</v>
      </c>
      <c r="M382" s="142" t="str">
        <f t="shared" ca="1" si="47"/>
        <v>Aucune case cochée</v>
      </c>
      <c r="N382" s="142" t="str">
        <f t="shared" ca="1" si="51"/>
        <v>Aucune case cochée</v>
      </c>
      <c r="O382" s="47">
        <v>0</v>
      </c>
      <c r="P382" s="142">
        <f t="shared" si="50"/>
        <v>0</v>
      </c>
      <c r="Q382" s="142">
        <f t="shared" ca="1" si="48"/>
        <v>3</v>
      </c>
      <c r="R382" s="142">
        <f t="shared" si="52"/>
        <v>3</v>
      </c>
      <c r="S382" s="218"/>
      <c r="T382" s="218"/>
      <c r="U382" s="219"/>
      <c r="V382" s="220"/>
      <c r="W382" s="218"/>
      <c r="X382" s="220"/>
      <c r="Y382" s="217"/>
      <c r="Z382" s="17"/>
    </row>
    <row r="383" spans="1:26" ht="32.1" customHeight="1" x14ac:dyDescent="0.2">
      <c r="A383" s="44" t="s">
        <v>757</v>
      </c>
      <c r="B383" s="44" t="s">
        <v>758</v>
      </c>
      <c r="C383" s="44" t="s">
        <v>682</v>
      </c>
      <c r="D383" s="44" t="s">
        <v>500</v>
      </c>
      <c r="E383" s="45">
        <f t="shared" si="46"/>
        <v>16</v>
      </c>
      <c r="F383" s="142" t="s">
        <v>649</v>
      </c>
      <c r="G383" s="142" t="s">
        <v>650</v>
      </c>
      <c r="H383" s="142" t="s">
        <v>650</v>
      </c>
      <c r="I383" s="142" t="s">
        <v>650</v>
      </c>
      <c r="J383" s="142" t="s">
        <v>650</v>
      </c>
      <c r="K383" s="142" t="s">
        <v>650</v>
      </c>
      <c r="L383" s="142">
        <v>2</v>
      </c>
      <c r="M383" s="142" t="str">
        <f t="shared" ca="1" si="47"/>
        <v>Aucune case cochée</v>
      </c>
      <c r="N383" s="142" t="str">
        <f t="shared" ca="1" si="51"/>
        <v>Aucune case cochée</v>
      </c>
      <c r="O383" s="47">
        <v>1</v>
      </c>
      <c r="P383" s="142">
        <f t="shared" si="50"/>
        <v>2</v>
      </c>
      <c r="Q383" s="142">
        <f t="shared" ca="1" si="48"/>
        <v>2</v>
      </c>
      <c r="R383" s="142">
        <f t="shared" si="52"/>
        <v>2</v>
      </c>
      <c r="S383" s="218"/>
      <c r="T383" s="218"/>
      <c r="U383" s="219"/>
      <c r="V383" s="220"/>
      <c r="W383" s="218"/>
      <c r="X383" s="220"/>
      <c r="Y383" s="217"/>
      <c r="Z383" s="17"/>
    </row>
    <row r="384" spans="1:26" ht="32.1" customHeight="1" x14ac:dyDescent="0.2">
      <c r="A384" s="44" t="s">
        <v>757</v>
      </c>
      <c r="B384" s="44" t="s">
        <v>758</v>
      </c>
      <c r="C384" s="44" t="s">
        <v>682</v>
      </c>
      <c r="D384" s="44" t="s">
        <v>501</v>
      </c>
      <c r="E384" s="45">
        <f t="shared" si="46"/>
        <v>18</v>
      </c>
      <c r="F384" s="142" t="s">
        <v>649</v>
      </c>
      <c r="G384" s="142" t="s">
        <v>651</v>
      </c>
      <c r="H384" s="142" t="s">
        <v>651</v>
      </c>
      <c r="I384" s="142" t="s">
        <v>651</v>
      </c>
      <c r="J384" s="142" t="s">
        <v>651</v>
      </c>
      <c r="K384" s="142" t="s">
        <v>651</v>
      </c>
      <c r="L384" s="142">
        <v>1</v>
      </c>
      <c r="M384" s="142" t="str">
        <f t="shared" ca="1" si="47"/>
        <v>Aucune case cochée</v>
      </c>
      <c r="N384" s="142" t="str">
        <f t="shared" ca="1" si="51"/>
        <v>Aucune case cochée</v>
      </c>
      <c r="O384" s="47">
        <v>1</v>
      </c>
      <c r="P384" s="142">
        <f t="shared" si="50"/>
        <v>1</v>
      </c>
      <c r="Q384" s="142">
        <f t="shared" ca="1" si="48"/>
        <v>1</v>
      </c>
      <c r="R384" s="142">
        <f t="shared" si="52"/>
        <v>1</v>
      </c>
      <c r="S384" s="218"/>
      <c r="T384" s="218"/>
      <c r="U384" s="219"/>
      <c r="V384" s="220"/>
      <c r="W384" s="218"/>
      <c r="X384" s="220"/>
      <c r="Y384" s="217"/>
      <c r="Z384" s="17"/>
    </row>
    <row r="385" spans="1:26" ht="32.1" customHeight="1" x14ac:dyDescent="0.2">
      <c r="A385" s="44" t="s">
        <v>757</v>
      </c>
      <c r="B385" s="44" t="s">
        <v>758</v>
      </c>
      <c r="C385" s="44" t="s">
        <v>675</v>
      </c>
      <c r="D385" s="44" t="s">
        <v>502</v>
      </c>
      <c r="E385" s="45">
        <f t="shared" si="46"/>
        <v>21</v>
      </c>
      <c r="F385" s="142" t="s">
        <v>649</v>
      </c>
      <c r="G385" s="142" t="s">
        <v>650</v>
      </c>
      <c r="H385" s="142" t="s">
        <v>650</v>
      </c>
      <c r="I385" s="142" t="s">
        <v>650</v>
      </c>
      <c r="J385" s="142" t="s">
        <v>650</v>
      </c>
      <c r="K385" s="142" t="s">
        <v>650</v>
      </c>
      <c r="L385" s="142">
        <v>1</v>
      </c>
      <c r="M385" s="142" t="str">
        <f t="shared" ca="1" si="47"/>
        <v>Aucune case cochée</v>
      </c>
      <c r="N385" s="142" t="str">
        <f t="shared" ca="1" si="51"/>
        <v>Aucune case cochée</v>
      </c>
      <c r="O385" s="47">
        <v>1</v>
      </c>
      <c r="P385" s="142">
        <f t="shared" si="50"/>
        <v>1</v>
      </c>
      <c r="Q385" s="142">
        <f t="shared" ca="1" si="48"/>
        <v>1</v>
      </c>
      <c r="R385" s="142">
        <f t="shared" si="52"/>
        <v>1</v>
      </c>
      <c r="S385" s="218">
        <f>SUM(P385:P392)</f>
        <v>11</v>
      </c>
      <c r="T385" s="218">
        <f>SUM(R385:R392)</f>
        <v>17</v>
      </c>
      <c r="U385" s="219">
        <f>+S385/T385</f>
        <v>0.6470588235294118</v>
      </c>
      <c r="V385" s="220">
        <v>0.1</v>
      </c>
      <c r="W385" s="218"/>
      <c r="X385" s="220"/>
      <c r="Y385" s="217"/>
      <c r="Z385" s="17"/>
    </row>
    <row r="386" spans="1:26" ht="32.1" customHeight="1" x14ac:dyDescent="0.2">
      <c r="A386" s="44" t="s">
        <v>757</v>
      </c>
      <c r="B386" s="44" t="s">
        <v>758</v>
      </c>
      <c r="C386" s="44" t="s">
        <v>675</v>
      </c>
      <c r="D386" s="44" t="s">
        <v>185</v>
      </c>
      <c r="E386" s="45">
        <f t="shared" ref="E386:E449" si="53">IF(B386&lt;&gt;B385,10,IF(C386&lt;&gt;C385,E385+3,E385+2))</f>
        <v>23</v>
      </c>
      <c r="F386" s="142" t="s">
        <v>649</v>
      </c>
      <c r="G386" s="142" t="s">
        <v>650</v>
      </c>
      <c r="H386" s="142" t="s">
        <v>650</v>
      </c>
      <c r="I386" s="142" t="s">
        <v>650</v>
      </c>
      <c r="J386" s="142" t="s">
        <v>651</v>
      </c>
      <c r="K386" s="142" t="s">
        <v>651</v>
      </c>
      <c r="L386" s="142">
        <v>2</v>
      </c>
      <c r="M386" s="142" t="str">
        <f t="shared" ca="1" si="47"/>
        <v>Aucune case cochée</v>
      </c>
      <c r="N386" s="142" t="str">
        <f t="shared" ca="1" si="51"/>
        <v>Aucune case cochée</v>
      </c>
      <c r="O386" s="47">
        <v>1</v>
      </c>
      <c r="P386" s="142">
        <f t="shared" si="50"/>
        <v>2</v>
      </c>
      <c r="Q386" s="142">
        <f t="shared" ca="1" si="48"/>
        <v>2</v>
      </c>
      <c r="R386" s="142">
        <f t="shared" si="52"/>
        <v>2</v>
      </c>
      <c r="S386" s="218"/>
      <c r="T386" s="218"/>
      <c r="U386" s="219"/>
      <c r="V386" s="220"/>
      <c r="W386" s="218"/>
      <c r="X386" s="220"/>
      <c r="Y386" s="217"/>
      <c r="Z386" s="17"/>
    </row>
    <row r="387" spans="1:26" ht="32.1" customHeight="1" x14ac:dyDescent="0.2">
      <c r="A387" s="44" t="s">
        <v>757</v>
      </c>
      <c r="B387" s="44" t="s">
        <v>758</v>
      </c>
      <c r="C387" s="44" t="s">
        <v>675</v>
      </c>
      <c r="D387" s="44" t="s">
        <v>503</v>
      </c>
      <c r="E387" s="45">
        <f t="shared" si="53"/>
        <v>25</v>
      </c>
      <c r="F387" s="142" t="s">
        <v>649</v>
      </c>
      <c r="G387" s="142" t="s">
        <v>650</v>
      </c>
      <c r="H387" s="142" t="s">
        <v>650</v>
      </c>
      <c r="I387" s="142" t="s">
        <v>650</v>
      </c>
      <c r="J387" s="142" t="s">
        <v>650</v>
      </c>
      <c r="K387" s="142" t="s">
        <v>650</v>
      </c>
      <c r="L387" s="142">
        <v>2</v>
      </c>
      <c r="M387" s="142" t="str">
        <f t="shared" ca="1" si="47"/>
        <v>Aucune case cochée</v>
      </c>
      <c r="N387" s="142" t="str">
        <f t="shared" ca="1" si="51"/>
        <v>Aucune case cochée</v>
      </c>
      <c r="O387" s="47">
        <v>1</v>
      </c>
      <c r="P387" s="142">
        <f t="shared" si="50"/>
        <v>2</v>
      </c>
      <c r="Q387" s="142">
        <f t="shared" ca="1" si="48"/>
        <v>2</v>
      </c>
      <c r="R387" s="142">
        <f t="shared" si="52"/>
        <v>2</v>
      </c>
      <c r="S387" s="218"/>
      <c r="T387" s="218"/>
      <c r="U387" s="219"/>
      <c r="V387" s="220"/>
      <c r="W387" s="218"/>
      <c r="X387" s="220"/>
      <c r="Y387" s="217"/>
      <c r="Z387" s="17"/>
    </row>
    <row r="388" spans="1:26" ht="32.1" customHeight="1" x14ac:dyDescent="0.2">
      <c r="A388" s="44" t="s">
        <v>757</v>
      </c>
      <c r="B388" s="44" t="s">
        <v>758</v>
      </c>
      <c r="C388" s="44" t="s">
        <v>675</v>
      </c>
      <c r="D388" s="44" t="s">
        <v>504</v>
      </c>
      <c r="E388" s="45">
        <f t="shared" si="53"/>
        <v>27</v>
      </c>
      <c r="F388" s="142" t="s">
        <v>649</v>
      </c>
      <c r="G388" s="142" t="s">
        <v>650</v>
      </c>
      <c r="H388" s="142" t="s">
        <v>650</v>
      </c>
      <c r="I388" s="142" t="s">
        <v>650</v>
      </c>
      <c r="J388" s="142" t="s">
        <v>650</v>
      </c>
      <c r="K388" s="142" t="s">
        <v>651</v>
      </c>
      <c r="L388" s="142">
        <v>2</v>
      </c>
      <c r="M388" s="142" t="str">
        <f t="shared" ca="1" si="47"/>
        <v>Aucune case cochée</v>
      </c>
      <c r="N388" s="142" t="str">
        <f t="shared" ca="1" si="51"/>
        <v>Aucune case cochée</v>
      </c>
      <c r="O388" s="47">
        <v>1</v>
      </c>
      <c r="P388" s="142">
        <f t="shared" si="50"/>
        <v>2</v>
      </c>
      <c r="Q388" s="142">
        <f t="shared" ca="1" si="48"/>
        <v>2</v>
      </c>
      <c r="R388" s="142">
        <f t="shared" si="52"/>
        <v>2</v>
      </c>
      <c r="S388" s="218"/>
      <c r="T388" s="218"/>
      <c r="U388" s="219"/>
      <c r="V388" s="220"/>
      <c r="W388" s="218"/>
      <c r="X388" s="220"/>
      <c r="Y388" s="217"/>
      <c r="Z388" s="17"/>
    </row>
    <row r="389" spans="1:26" ht="32.1" customHeight="1" x14ac:dyDescent="0.2">
      <c r="A389" s="44" t="s">
        <v>757</v>
      </c>
      <c r="B389" s="44" t="s">
        <v>758</v>
      </c>
      <c r="C389" s="44" t="s">
        <v>675</v>
      </c>
      <c r="D389" s="44" t="s">
        <v>505</v>
      </c>
      <c r="E389" s="45">
        <f t="shared" si="53"/>
        <v>29</v>
      </c>
      <c r="F389" s="142" t="s">
        <v>649</v>
      </c>
      <c r="G389" s="142" t="s">
        <v>650</v>
      </c>
      <c r="H389" s="142" t="s">
        <v>651</v>
      </c>
      <c r="I389" s="142" t="s">
        <v>210</v>
      </c>
      <c r="J389" s="142" t="s">
        <v>210</v>
      </c>
      <c r="K389" s="142" t="s">
        <v>210</v>
      </c>
      <c r="L389" s="142">
        <v>2</v>
      </c>
      <c r="M389" s="142" t="str">
        <f t="shared" ref="M389:M452" ca="1" si="54">IFERROR(INDEX(INDIRECT(B389 &amp; "!G" &amp; E389 &amp; ":M" &amp; E389), 1, MATCH(TRUE, INDIRECT(B389 &amp; "!G" &amp; (E389+1) &amp; ":M" &amp; (E389+1)), 0)), "Aucune case cochée")</f>
        <v>Aucune case cochée</v>
      </c>
      <c r="N389" s="142" t="str">
        <f t="shared" ca="1" si="51"/>
        <v>Aucune case cochée</v>
      </c>
      <c r="O389" s="47">
        <v>1</v>
      </c>
      <c r="P389" s="142">
        <f t="shared" si="50"/>
        <v>2</v>
      </c>
      <c r="Q389" s="142">
        <f t="shared" ref="Q389:Q452" ca="1" si="55">IF(N389="Non concerné",N389,R389)</f>
        <v>2</v>
      </c>
      <c r="R389" s="142">
        <f t="shared" si="52"/>
        <v>2</v>
      </c>
      <c r="S389" s="218"/>
      <c r="T389" s="218"/>
      <c r="U389" s="219"/>
      <c r="V389" s="220"/>
      <c r="W389" s="218"/>
      <c r="X389" s="220"/>
      <c r="Y389" s="217"/>
      <c r="Z389" s="17"/>
    </row>
    <row r="390" spans="1:26" ht="32.1" customHeight="1" x14ac:dyDescent="0.2">
      <c r="A390" s="44" t="s">
        <v>757</v>
      </c>
      <c r="B390" s="44" t="s">
        <v>758</v>
      </c>
      <c r="C390" s="44" t="s">
        <v>675</v>
      </c>
      <c r="D390" s="44" t="s">
        <v>506</v>
      </c>
      <c r="E390" s="45">
        <f t="shared" si="53"/>
        <v>31</v>
      </c>
      <c r="F390" s="142" t="s">
        <v>649</v>
      </c>
      <c r="G390" s="142" t="s">
        <v>650</v>
      </c>
      <c r="H390" s="142" t="s">
        <v>651</v>
      </c>
      <c r="I390" s="142" t="s">
        <v>210</v>
      </c>
      <c r="J390" s="142" t="s">
        <v>210</v>
      </c>
      <c r="K390" s="142" t="s">
        <v>210</v>
      </c>
      <c r="L390" s="142">
        <v>2</v>
      </c>
      <c r="M390" s="142" t="str">
        <f t="shared" ca="1" si="54"/>
        <v>Aucune case cochée</v>
      </c>
      <c r="N390" s="142" t="str">
        <f t="shared" ca="1" si="51"/>
        <v>Aucune case cochée</v>
      </c>
      <c r="O390" s="47">
        <v>1</v>
      </c>
      <c r="P390" s="142">
        <f t="shared" si="50"/>
        <v>2</v>
      </c>
      <c r="Q390" s="142">
        <f t="shared" ca="1" si="55"/>
        <v>2</v>
      </c>
      <c r="R390" s="142">
        <f t="shared" si="52"/>
        <v>2</v>
      </c>
      <c r="S390" s="218"/>
      <c r="T390" s="218"/>
      <c r="U390" s="219"/>
      <c r="V390" s="220"/>
      <c r="W390" s="218"/>
      <c r="X390" s="220"/>
      <c r="Y390" s="217"/>
      <c r="Z390" s="17"/>
    </row>
    <row r="391" spans="1:26" ht="32.1" customHeight="1" x14ac:dyDescent="0.2">
      <c r="A391" s="44" t="s">
        <v>757</v>
      </c>
      <c r="B391" s="44" t="s">
        <v>758</v>
      </c>
      <c r="C391" s="44" t="s">
        <v>675</v>
      </c>
      <c r="D391" s="44" t="s">
        <v>507</v>
      </c>
      <c r="E391" s="45">
        <f t="shared" si="53"/>
        <v>33</v>
      </c>
      <c r="F391" s="142" t="s">
        <v>656</v>
      </c>
      <c r="G391" s="142" t="s">
        <v>650</v>
      </c>
      <c r="H391" s="142" t="s">
        <v>650</v>
      </c>
      <c r="I391" s="142" t="s">
        <v>650</v>
      </c>
      <c r="J391" s="142" t="s">
        <v>650</v>
      </c>
      <c r="K391" s="142" t="s">
        <v>650</v>
      </c>
      <c r="L391" s="142">
        <v>1</v>
      </c>
      <c r="M391" s="142" t="str">
        <f t="shared" ca="1" si="54"/>
        <v>Aucune case cochée</v>
      </c>
      <c r="N391" s="142" t="str">
        <f t="shared" ca="1" si="51"/>
        <v>Aucune case cochée</v>
      </c>
      <c r="O391" s="47">
        <v>0</v>
      </c>
      <c r="P391" s="142">
        <f t="shared" si="50"/>
        <v>0</v>
      </c>
      <c r="Q391" s="142">
        <f t="shared" ca="1" si="55"/>
        <v>3</v>
      </c>
      <c r="R391" s="142">
        <f t="shared" si="52"/>
        <v>3</v>
      </c>
      <c r="S391" s="218"/>
      <c r="T391" s="218"/>
      <c r="U391" s="219"/>
      <c r="V391" s="220"/>
      <c r="W391" s="218"/>
      <c r="X391" s="220"/>
      <c r="Y391" s="217"/>
      <c r="Z391" s="17"/>
    </row>
    <row r="392" spans="1:26" ht="32.1" customHeight="1" x14ac:dyDescent="0.2">
      <c r="A392" s="44" t="s">
        <v>757</v>
      </c>
      <c r="B392" s="44" t="s">
        <v>758</v>
      </c>
      <c r="C392" s="44" t="s">
        <v>675</v>
      </c>
      <c r="D392" s="44" t="s">
        <v>508</v>
      </c>
      <c r="E392" s="45">
        <f t="shared" si="53"/>
        <v>35</v>
      </c>
      <c r="F392" s="142" t="s">
        <v>656</v>
      </c>
      <c r="G392" s="142" t="s">
        <v>650</v>
      </c>
      <c r="H392" s="142" t="s">
        <v>650</v>
      </c>
      <c r="I392" s="142" t="s">
        <v>650</v>
      </c>
      <c r="J392" s="142" t="s">
        <v>650</v>
      </c>
      <c r="K392" s="142" t="s">
        <v>650</v>
      </c>
      <c r="L392" s="142">
        <v>1</v>
      </c>
      <c r="M392" s="142" t="str">
        <f t="shared" ca="1" si="54"/>
        <v>Aucune case cochée</v>
      </c>
      <c r="N392" s="142" t="str">
        <f t="shared" ca="1" si="51"/>
        <v>Aucune case cochée</v>
      </c>
      <c r="O392" s="47">
        <v>0</v>
      </c>
      <c r="P392" s="142">
        <f t="shared" si="50"/>
        <v>0</v>
      </c>
      <c r="Q392" s="142">
        <f t="shared" ca="1" si="55"/>
        <v>3</v>
      </c>
      <c r="R392" s="142">
        <f t="shared" si="52"/>
        <v>3</v>
      </c>
      <c r="S392" s="218"/>
      <c r="T392" s="218"/>
      <c r="U392" s="219"/>
      <c r="V392" s="220"/>
      <c r="W392" s="218"/>
      <c r="X392" s="220"/>
      <c r="Y392" s="217"/>
      <c r="Z392" s="17"/>
    </row>
    <row r="393" spans="1:26" ht="32.1" customHeight="1" x14ac:dyDescent="0.2">
      <c r="A393" s="44" t="s">
        <v>757</v>
      </c>
      <c r="B393" s="44" t="s">
        <v>758</v>
      </c>
      <c r="C393" s="44" t="s">
        <v>759</v>
      </c>
      <c r="D393" s="44" t="s">
        <v>510</v>
      </c>
      <c r="E393" s="45">
        <f t="shared" si="53"/>
        <v>38</v>
      </c>
      <c r="F393" s="142" t="s">
        <v>649</v>
      </c>
      <c r="G393" s="142" t="s">
        <v>650</v>
      </c>
      <c r="H393" s="142" t="s">
        <v>650</v>
      </c>
      <c r="I393" s="142" t="s">
        <v>650</v>
      </c>
      <c r="J393" s="142" t="s">
        <v>650</v>
      </c>
      <c r="K393" s="142" t="s">
        <v>650</v>
      </c>
      <c r="L393" s="142">
        <v>2</v>
      </c>
      <c r="M393" s="142" t="str">
        <f t="shared" ca="1" si="54"/>
        <v>Aucune case cochée</v>
      </c>
      <c r="N393" s="142" t="str">
        <f t="shared" ca="1" si="51"/>
        <v>Aucune case cochée</v>
      </c>
      <c r="O393" s="47">
        <v>1</v>
      </c>
      <c r="P393" s="142">
        <f t="shared" si="50"/>
        <v>2</v>
      </c>
      <c r="Q393" s="142">
        <f t="shared" ca="1" si="55"/>
        <v>2</v>
      </c>
      <c r="R393" s="142">
        <f t="shared" si="52"/>
        <v>2</v>
      </c>
      <c r="S393" s="218">
        <f>SUM(P393:P407)</f>
        <v>25</v>
      </c>
      <c r="T393" s="218">
        <f>SUM(R393:R407)</f>
        <v>31</v>
      </c>
      <c r="U393" s="219">
        <f>+S393/T393</f>
        <v>0.80645161290322576</v>
      </c>
      <c r="V393" s="220">
        <f>IF(AND(O393=1,O408=1),20%,IF(AND(O393=1,O408=0),30%,0%))</f>
        <v>0.2</v>
      </c>
      <c r="W393" s="218"/>
      <c r="X393" s="220"/>
      <c r="Y393" s="217"/>
      <c r="Z393" s="17"/>
    </row>
    <row r="394" spans="1:26" ht="32.1" customHeight="1" x14ac:dyDescent="0.2">
      <c r="A394" s="44" t="s">
        <v>757</v>
      </c>
      <c r="B394" s="44" t="s">
        <v>758</v>
      </c>
      <c r="C394" s="44" t="s">
        <v>759</v>
      </c>
      <c r="D394" s="44" t="s">
        <v>511</v>
      </c>
      <c r="E394" s="45">
        <f t="shared" si="53"/>
        <v>40</v>
      </c>
      <c r="F394" s="142" t="s">
        <v>649</v>
      </c>
      <c r="G394" s="142" t="s">
        <v>650</v>
      </c>
      <c r="H394" s="142" t="s">
        <v>650</v>
      </c>
      <c r="I394" s="142" t="s">
        <v>650</v>
      </c>
      <c r="J394" s="142" t="s">
        <v>651</v>
      </c>
      <c r="K394" s="142" t="s">
        <v>210</v>
      </c>
      <c r="L394" s="142">
        <v>2</v>
      </c>
      <c r="M394" s="142" t="str">
        <f t="shared" ca="1" si="54"/>
        <v>Aucune case cochée</v>
      </c>
      <c r="N394" s="142" t="str">
        <f t="shared" ca="1" si="51"/>
        <v>Aucune case cochée</v>
      </c>
      <c r="O394" s="47">
        <v>1</v>
      </c>
      <c r="P394" s="142">
        <f t="shared" si="50"/>
        <v>2</v>
      </c>
      <c r="Q394" s="142">
        <f t="shared" ca="1" si="55"/>
        <v>2</v>
      </c>
      <c r="R394" s="142">
        <f t="shared" si="52"/>
        <v>2</v>
      </c>
      <c r="S394" s="218"/>
      <c r="T394" s="218"/>
      <c r="U394" s="219"/>
      <c r="V394" s="220"/>
      <c r="W394" s="218"/>
      <c r="X394" s="220"/>
      <c r="Y394" s="217"/>
      <c r="Z394" s="17"/>
    </row>
    <row r="395" spans="1:26" ht="32.1" customHeight="1" x14ac:dyDescent="0.2">
      <c r="A395" s="44" t="s">
        <v>757</v>
      </c>
      <c r="B395" s="44" t="s">
        <v>758</v>
      </c>
      <c r="C395" s="44" t="s">
        <v>759</v>
      </c>
      <c r="D395" s="44" t="s">
        <v>512</v>
      </c>
      <c r="E395" s="45">
        <f t="shared" si="53"/>
        <v>42</v>
      </c>
      <c r="F395" s="142" t="s">
        <v>649</v>
      </c>
      <c r="G395" s="142" t="s">
        <v>651</v>
      </c>
      <c r="H395" s="142" t="s">
        <v>651</v>
      </c>
      <c r="I395" s="142" t="s">
        <v>651</v>
      </c>
      <c r="J395" s="142" t="s">
        <v>651</v>
      </c>
      <c r="K395" s="142" t="s">
        <v>651</v>
      </c>
      <c r="L395" s="142">
        <v>1</v>
      </c>
      <c r="M395" s="142" t="str">
        <f t="shared" ca="1" si="54"/>
        <v>Aucune case cochée</v>
      </c>
      <c r="N395" s="142" t="str">
        <f t="shared" ca="1" si="51"/>
        <v>Aucune case cochée</v>
      </c>
      <c r="O395" s="47">
        <v>1</v>
      </c>
      <c r="P395" s="142">
        <f t="shared" si="50"/>
        <v>1</v>
      </c>
      <c r="Q395" s="142">
        <f t="shared" ca="1" si="55"/>
        <v>1</v>
      </c>
      <c r="R395" s="142">
        <f t="shared" si="52"/>
        <v>1</v>
      </c>
      <c r="S395" s="218"/>
      <c r="T395" s="218"/>
      <c r="U395" s="219"/>
      <c r="V395" s="220"/>
      <c r="W395" s="218"/>
      <c r="X395" s="220"/>
      <c r="Y395" s="217"/>
      <c r="Z395" s="17"/>
    </row>
    <row r="396" spans="1:26" ht="32.1" customHeight="1" x14ac:dyDescent="0.2">
      <c r="A396" s="44" t="s">
        <v>757</v>
      </c>
      <c r="B396" s="44" t="s">
        <v>758</v>
      </c>
      <c r="C396" s="44" t="s">
        <v>759</v>
      </c>
      <c r="D396" s="44" t="s">
        <v>513</v>
      </c>
      <c r="E396" s="45">
        <f t="shared" si="53"/>
        <v>44</v>
      </c>
      <c r="F396" s="142" t="s">
        <v>649</v>
      </c>
      <c r="G396" s="142" t="s">
        <v>650</v>
      </c>
      <c r="H396" s="142" t="s">
        <v>650</v>
      </c>
      <c r="I396" s="142" t="s">
        <v>650</v>
      </c>
      <c r="J396" s="142" t="s">
        <v>650</v>
      </c>
      <c r="K396" s="142" t="s">
        <v>650</v>
      </c>
      <c r="L396" s="142">
        <v>2</v>
      </c>
      <c r="M396" s="142" t="str">
        <f t="shared" ca="1" si="54"/>
        <v>Aucune case cochée</v>
      </c>
      <c r="N396" s="142" t="str">
        <f t="shared" ca="1" si="51"/>
        <v>Aucune case cochée</v>
      </c>
      <c r="O396" s="47">
        <v>1</v>
      </c>
      <c r="P396" s="142">
        <f t="shared" si="50"/>
        <v>2</v>
      </c>
      <c r="Q396" s="142">
        <f t="shared" ca="1" si="55"/>
        <v>2</v>
      </c>
      <c r="R396" s="142">
        <f t="shared" si="52"/>
        <v>2</v>
      </c>
      <c r="S396" s="218"/>
      <c r="T396" s="218"/>
      <c r="U396" s="219"/>
      <c r="V396" s="220"/>
      <c r="W396" s="218"/>
      <c r="X396" s="220"/>
      <c r="Y396" s="217"/>
      <c r="Z396" s="17"/>
    </row>
    <row r="397" spans="1:26" ht="32.1" customHeight="1" x14ac:dyDescent="0.2">
      <c r="A397" s="44" t="s">
        <v>757</v>
      </c>
      <c r="B397" s="44" t="s">
        <v>758</v>
      </c>
      <c r="C397" s="44" t="s">
        <v>759</v>
      </c>
      <c r="D397" s="44" t="s">
        <v>514</v>
      </c>
      <c r="E397" s="45">
        <f t="shared" si="53"/>
        <v>46</v>
      </c>
      <c r="F397" s="142" t="s">
        <v>649</v>
      </c>
      <c r="G397" s="142" t="s">
        <v>650</v>
      </c>
      <c r="H397" s="142" t="s">
        <v>650</v>
      </c>
      <c r="I397" s="142" t="s">
        <v>650</v>
      </c>
      <c r="J397" s="142" t="s">
        <v>651</v>
      </c>
      <c r="K397" s="142" t="s">
        <v>650</v>
      </c>
      <c r="L397" s="142">
        <v>2</v>
      </c>
      <c r="M397" s="142" t="str">
        <f t="shared" ca="1" si="54"/>
        <v>Aucune case cochée</v>
      </c>
      <c r="N397" s="142" t="str">
        <f t="shared" ca="1" si="51"/>
        <v>Aucune case cochée</v>
      </c>
      <c r="O397" s="47">
        <v>1</v>
      </c>
      <c r="P397" s="142">
        <f t="shared" si="50"/>
        <v>2</v>
      </c>
      <c r="Q397" s="142">
        <f t="shared" ca="1" si="55"/>
        <v>2</v>
      </c>
      <c r="R397" s="142">
        <f t="shared" si="52"/>
        <v>2</v>
      </c>
      <c r="S397" s="218"/>
      <c r="T397" s="218"/>
      <c r="U397" s="219"/>
      <c r="V397" s="220"/>
      <c r="W397" s="218"/>
      <c r="X397" s="220"/>
      <c r="Y397" s="217"/>
      <c r="Z397" s="17"/>
    </row>
    <row r="398" spans="1:26" ht="32.1" customHeight="1" x14ac:dyDescent="0.2">
      <c r="A398" s="44" t="s">
        <v>757</v>
      </c>
      <c r="B398" s="44" t="s">
        <v>758</v>
      </c>
      <c r="C398" s="44" t="s">
        <v>759</v>
      </c>
      <c r="D398" s="44" t="s">
        <v>515</v>
      </c>
      <c r="E398" s="45">
        <f t="shared" si="53"/>
        <v>48</v>
      </c>
      <c r="F398" s="142" t="s">
        <v>649</v>
      </c>
      <c r="G398" s="142" t="s">
        <v>210</v>
      </c>
      <c r="H398" s="142" t="s">
        <v>210</v>
      </c>
      <c r="I398" s="142" t="s">
        <v>210</v>
      </c>
      <c r="J398" s="142" t="s">
        <v>210</v>
      </c>
      <c r="K398" s="142" t="s">
        <v>210</v>
      </c>
      <c r="L398" s="142">
        <v>2</v>
      </c>
      <c r="M398" s="142" t="str">
        <f t="shared" ca="1" si="54"/>
        <v>Aucune case cochée</v>
      </c>
      <c r="N398" s="142" t="str">
        <f t="shared" ca="1" si="51"/>
        <v>Aucune case cochée</v>
      </c>
      <c r="O398" s="47">
        <v>1</v>
      </c>
      <c r="P398" s="142">
        <f t="shared" si="50"/>
        <v>2</v>
      </c>
      <c r="Q398" s="142">
        <f t="shared" ca="1" si="55"/>
        <v>2</v>
      </c>
      <c r="R398" s="142">
        <f t="shared" si="52"/>
        <v>2</v>
      </c>
      <c r="S398" s="218"/>
      <c r="T398" s="218"/>
      <c r="U398" s="219"/>
      <c r="V398" s="220"/>
      <c r="W398" s="218"/>
      <c r="X398" s="220"/>
      <c r="Y398" s="217"/>
      <c r="Z398" s="17"/>
    </row>
    <row r="399" spans="1:26" ht="32.1" customHeight="1" x14ac:dyDescent="0.2">
      <c r="A399" s="44" t="s">
        <v>757</v>
      </c>
      <c r="B399" s="44" t="s">
        <v>758</v>
      </c>
      <c r="C399" s="44" t="s">
        <v>759</v>
      </c>
      <c r="D399" s="44" t="s">
        <v>185</v>
      </c>
      <c r="E399" s="45">
        <f t="shared" si="53"/>
        <v>50</v>
      </c>
      <c r="F399" s="142" t="s">
        <v>649</v>
      </c>
      <c r="G399" s="142" t="s">
        <v>650</v>
      </c>
      <c r="H399" s="142" t="s">
        <v>651</v>
      </c>
      <c r="I399" s="142" t="s">
        <v>650</v>
      </c>
      <c r="J399" s="142" t="s">
        <v>650</v>
      </c>
      <c r="K399" s="142" t="s">
        <v>650</v>
      </c>
      <c r="L399" s="142">
        <v>2</v>
      </c>
      <c r="M399" s="142" t="str">
        <f t="shared" ca="1" si="54"/>
        <v>Aucune case cochée</v>
      </c>
      <c r="N399" s="142" t="str">
        <f t="shared" ca="1" si="51"/>
        <v>Aucune case cochée</v>
      </c>
      <c r="O399" s="47">
        <v>1</v>
      </c>
      <c r="P399" s="142">
        <f t="shared" si="50"/>
        <v>2</v>
      </c>
      <c r="Q399" s="142">
        <f t="shared" ca="1" si="55"/>
        <v>2</v>
      </c>
      <c r="R399" s="142">
        <f t="shared" si="52"/>
        <v>2</v>
      </c>
      <c r="S399" s="218"/>
      <c r="T399" s="218"/>
      <c r="U399" s="219"/>
      <c r="V399" s="220"/>
      <c r="W399" s="218"/>
      <c r="X399" s="220"/>
      <c r="Y399" s="217"/>
      <c r="Z399" s="17"/>
    </row>
    <row r="400" spans="1:26" ht="32.1" customHeight="1" x14ac:dyDescent="0.2">
      <c r="A400" s="44" t="s">
        <v>757</v>
      </c>
      <c r="B400" s="44" t="s">
        <v>758</v>
      </c>
      <c r="C400" s="44" t="s">
        <v>759</v>
      </c>
      <c r="D400" s="44" t="s">
        <v>516</v>
      </c>
      <c r="E400" s="45">
        <f t="shared" si="53"/>
        <v>52</v>
      </c>
      <c r="F400" s="142" t="s">
        <v>649</v>
      </c>
      <c r="G400" s="142" t="s">
        <v>650</v>
      </c>
      <c r="H400" s="142" t="s">
        <v>651</v>
      </c>
      <c r="I400" s="142" t="s">
        <v>210</v>
      </c>
      <c r="J400" s="142" t="s">
        <v>210</v>
      </c>
      <c r="K400" s="142" t="s">
        <v>210</v>
      </c>
      <c r="L400" s="142">
        <v>2</v>
      </c>
      <c r="M400" s="142" t="str">
        <f t="shared" ca="1" si="54"/>
        <v>Aucune case cochée</v>
      </c>
      <c r="N400" s="142" t="str">
        <f t="shared" ca="1" si="51"/>
        <v>Aucune case cochée</v>
      </c>
      <c r="O400" s="47">
        <v>1</v>
      </c>
      <c r="P400" s="142">
        <f t="shared" si="50"/>
        <v>2</v>
      </c>
      <c r="Q400" s="142">
        <f t="shared" ca="1" si="55"/>
        <v>2</v>
      </c>
      <c r="R400" s="142">
        <f t="shared" si="52"/>
        <v>2</v>
      </c>
      <c r="S400" s="218"/>
      <c r="T400" s="218"/>
      <c r="U400" s="219"/>
      <c r="V400" s="220"/>
      <c r="W400" s="218"/>
      <c r="X400" s="220"/>
      <c r="Y400" s="217"/>
      <c r="Z400" s="17"/>
    </row>
    <row r="401" spans="1:26" ht="32.1" customHeight="1" x14ac:dyDescent="0.2">
      <c r="A401" s="44" t="s">
        <v>757</v>
      </c>
      <c r="B401" s="44" t="s">
        <v>758</v>
      </c>
      <c r="C401" s="44" t="s">
        <v>759</v>
      </c>
      <c r="D401" s="44" t="s">
        <v>517</v>
      </c>
      <c r="E401" s="45">
        <f t="shared" si="53"/>
        <v>54</v>
      </c>
      <c r="F401" s="142" t="s">
        <v>649</v>
      </c>
      <c r="G401" s="142" t="s">
        <v>650</v>
      </c>
      <c r="H401" s="142" t="s">
        <v>650</v>
      </c>
      <c r="I401" s="142" t="s">
        <v>650</v>
      </c>
      <c r="J401" s="142" t="s">
        <v>650</v>
      </c>
      <c r="K401" s="142" t="s">
        <v>651</v>
      </c>
      <c r="L401" s="142">
        <v>2</v>
      </c>
      <c r="M401" s="142" t="str">
        <f t="shared" ca="1" si="54"/>
        <v>Aucune case cochée</v>
      </c>
      <c r="N401" s="142" t="str">
        <f t="shared" ca="1" si="51"/>
        <v>Aucune case cochée</v>
      </c>
      <c r="O401" s="47">
        <v>1</v>
      </c>
      <c r="P401" s="142">
        <f t="shared" si="50"/>
        <v>2</v>
      </c>
      <c r="Q401" s="142">
        <f t="shared" ca="1" si="55"/>
        <v>2</v>
      </c>
      <c r="R401" s="142">
        <f t="shared" si="52"/>
        <v>2</v>
      </c>
      <c r="S401" s="218"/>
      <c r="T401" s="218"/>
      <c r="U401" s="219"/>
      <c r="V401" s="220"/>
      <c r="W401" s="218"/>
      <c r="X401" s="220"/>
      <c r="Y401" s="217"/>
      <c r="Z401" s="17"/>
    </row>
    <row r="402" spans="1:26" ht="32.1" customHeight="1" x14ac:dyDescent="0.2">
      <c r="A402" s="44" t="s">
        <v>757</v>
      </c>
      <c r="B402" s="44" t="s">
        <v>758</v>
      </c>
      <c r="C402" s="44" t="s">
        <v>759</v>
      </c>
      <c r="D402" s="44" t="s">
        <v>518</v>
      </c>
      <c r="E402" s="45">
        <f t="shared" si="53"/>
        <v>56</v>
      </c>
      <c r="F402" s="142" t="s">
        <v>649</v>
      </c>
      <c r="G402" s="142" t="s">
        <v>650</v>
      </c>
      <c r="H402" s="142" t="s">
        <v>650</v>
      </c>
      <c r="I402" s="142" t="s">
        <v>650</v>
      </c>
      <c r="J402" s="142" t="s">
        <v>650</v>
      </c>
      <c r="K402" s="142" t="s">
        <v>650</v>
      </c>
      <c r="L402" s="142">
        <v>2</v>
      </c>
      <c r="M402" s="142" t="str">
        <f t="shared" ca="1" si="54"/>
        <v>Aucune case cochée</v>
      </c>
      <c r="N402" s="142" t="str">
        <f t="shared" ca="1" si="51"/>
        <v>Aucune case cochée</v>
      </c>
      <c r="O402" s="47">
        <v>1</v>
      </c>
      <c r="P402" s="142">
        <f t="shared" si="50"/>
        <v>2</v>
      </c>
      <c r="Q402" s="142">
        <f t="shared" ca="1" si="55"/>
        <v>2</v>
      </c>
      <c r="R402" s="142">
        <f t="shared" si="52"/>
        <v>2</v>
      </c>
      <c r="S402" s="218"/>
      <c r="T402" s="218"/>
      <c r="U402" s="219"/>
      <c r="V402" s="220"/>
      <c r="W402" s="218"/>
      <c r="X402" s="220"/>
      <c r="Y402" s="217"/>
      <c r="Z402" s="17"/>
    </row>
    <row r="403" spans="1:26" ht="32.1" customHeight="1" x14ac:dyDescent="0.2">
      <c r="A403" s="44" t="s">
        <v>757</v>
      </c>
      <c r="B403" s="44" t="s">
        <v>758</v>
      </c>
      <c r="C403" s="44" t="s">
        <v>759</v>
      </c>
      <c r="D403" s="44" t="s">
        <v>519</v>
      </c>
      <c r="E403" s="45">
        <f t="shared" si="53"/>
        <v>58</v>
      </c>
      <c r="F403" s="142" t="s">
        <v>649</v>
      </c>
      <c r="G403" s="142" t="s">
        <v>650</v>
      </c>
      <c r="H403" s="142" t="s">
        <v>650</v>
      </c>
      <c r="I403" s="142" t="s">
        <v>650</v>
      </c>
      <c r="J403" s="142" t="s">
        <v>650</v>
      </c>
      <c r="K403" s="142" t="s">
        <v>650</v>
      </c>
      <c r="L403" s="142">
        <v>2</v>
      </c>
      <c r="M403" s="142" t="str">
        <f t="shared" ca="1" si="54"/>
        <v>Aucune case cochée</v>
      </c>
      <c r="N403" s="142" t="str">
        <f t="shared" ca="1" si="51"/>
        <v>Aucune case cochée</v>
      </c>
      <c r="O403" s="47">
        <v>1</v>
      </c>
      <c r="P403" s="142">
        <f t="shared" si="50"/>
        <v>2</v>
      </c>
      <c r="Q403" s="142">
        <f t="shared" ca="1" si="55"/>
        <v>2</v>
      </c>
      <c r="R403" s="142">
        <f t="shared" si="52"/>
        <v>2</v>
      </c>
      <c r="S403" s="218"/>
      <c r="T403" s="218"/>
      <c r="U403" s="219"/>
      <c r="V403" s="220"/>
      <c r="W403" s="218"/>
      <c r="X403" s="220"/>
      <c r="Y403" s="217"/>
      <c r="Z403" s="17"/>
    </row>
    <row r="404" spans="1:26" ht="32.1" customHeight="1" x14ac:dyDescent="0.2">
      <c r="A404" s="44" t="s">
        <v>757</v>
      </c>
      <c r="B404" s="44" t="s">
        <v>758</v>
      </c>
      <c r="C404" s="44" t="s">
        <v>759</v>
      </c>
      <c r="D404" s="44" t="s">
        <v>520</v>
      </c>
      <c r="E404" s="45">
        <f t="shared" si="53"/>
        <v>60</v>
      </c>
      <c r="F404" s="142" t="s">
        <v>649</v>
      </c>
      <c r="G404" s="142" t="s">
        <v>650</v>
      </c>
      <c r="H404" s="142" t="s">
        <v>650</v>
      </c>
      <c r="I404" s="142" t="s">
        <v>650</v>
      </c>
      <c r="J404" s="142" t="s">
        <v>650</v>
      </c>
      <c r="K404" s="142" t="s">
        <v>650</v>
      </c>
      <c r="L404" s="142">
        <v>2</v>
      </c>
      <c r="M404" s="142" t="str">
        <f t="shared" ca="1" si="54"/>
        <v>Aucune case cochée</v>
      </c>
      <c r="N404" s="142" t="str">
        <f t="shared" ca="1" si="51"/>
        <v>Aucune case cochée</v>
      </c>
      <c r="O404" s="47">
        <v>1</v>
      </c>
      <c r="P404" s="142">
        <f t="shared" si="50"/>
        <v>2</v>
      </c>
      <c r="Q404" s="142">
        <f t="shared" ca="1" si="55"/>
        <v>2</v>
      </c>
      <c r="R404" s="142">
        <f t="shared" si="52"/>
        <v>2</v>
      </c>
      <c r="S404" s="218"/>
      <c r="T404" s="218"/>
      <c r="U404" s="219"/>
      <c r="V404" s="220"/>
      <c r="W404" s="218"/>
      <c r="X404" s="220"/>
      <c r="Y404" s="217"/>
      <c r="Z404" s="17"/>
    </row>
    <row r="405" spans="1:26" ht="32.1" customHeight="1" x14ac:dyDescent="0.2">
      <c r="A405" s="44" t="s">
        <v>757</v>
      </c>
      <c r="B405" s="44" t="s">
        <v>758</v>
      </c>
      <c r="C405" s="44" t="s">
        <v>759</v>
      </c>
      <c r="D405" s="44" t="s">
        <v>521</v>
      </c>
      <c r="E405" s="45">
        <f t="shared" si="53"/>
        <v>62</v>
      </c>
      <c r="F405" s="142" t="s">
        <v>649</v>
      </c>
      <c r="G405" s="142" t="s">
        <v>650</v>
      </c>
      <c r="H405" s="142" t="s">
        <v>650</v>
      </c>
      <c r="I405" s="142" t="s">
        <v>650</v>
      </c>
      <c r="J405" s="142" t="s">
        <v>650</v>
      </c>
      <c r="K405" s="142" t="s">
        <v>650</v>
      </c>
      <c r="L405" s="142">
        <v>2</v>
      </c>
      <c r="M405" s="142" t="str">
        <f t="shared" ca="1" si="54"/>
        <v>Aucune case cochée</v>
      </c>
      <c r="N405" s="142" t="str">
        <f t="shared" ca="1" si="51"/>
        <v>Aucune case cochée</v>
      </c>
      <c r="O405" s="47">
        <v>1</v>
      </c>
      <c r="P405" s="142">
        <f t="shared" si="50"/>
        <v>2</v>
      </c>
      <c r="Q405" s="142">
        <f t="shared" ca="1" si="55"/>
        <v>2</v>
      </c>
      <c r="R405" s="142">
        <f t="shared" si="52"/>
        <v>2</v>
      </c>
      <c r="S405" s="218"/>
      <c r="T405" s="218"/>
      <c r="U405" s="219"/>
      <c r="V405" s="220"/>
      <c r="W405" s="218"/>
      <c r="X405" s="220"/>
      <c r="Y405" s="217"/>
      <c r="Z405" s="17"/>
    </row>
    <row r="406" spans="1:26" ht="32.1" customHeight="1" x14ac:dyDescent="0.2">
      <c r="A406" s="44" t="s">
        <v>757</v>
      </c>
      <c r="B406" s="44" t="s">
        <v>758</v>
      </c>
      <c r="C406" s="44" t="s">
        <v>759</v>
      </c>
      <c r="D406" s="44" t="s">
        <v>522</v>
      </c>
      <c r="E406" s="45">
        <f t="shared" si="53"/>
        <v>64</v>
      </c>
      <c r="F406" s="142" t="s">
        <v>656</v>
      </c>
      <c r="G406" s="142" t="s">
        <v>650</v>
      </c>
      <c r="H406" s="142" t="s">
        <v>650</v>
      </c>
      <c r="I406" s="142" t="s">
        <v>650</v>
      </c>
      <c r="J406" s="142" t="s">
        <v>650</v>
      </c>
      <c r="K406" s="142" t="s">
        <v>650</v>
      </c>
      <c r="L406" s="142">
        <v>1</v>
      </c>
      <c r="M406" s="142" t="str">
        <f t="shared" ca="1" si="54"/>
        <v>Aucune case cochée</v>
      </c>
      <c r="N406" s="142" t="str">
        <f t="shared" ca="1" si="51"/>
        <v>Aucune case cochée</v>
      </c>
      <c r="O406" s="47">
        <v>0</v>
      </c>
      <c r="P406" s="142">
        <f t="shared" si="50"/>
        <v>0</v>
      </c>
      <c r="Q406" s="142">
        <f t="shared" ca="1" si="55"/>
        <v>3</v>
      </c>
      <c r="R406" s="142">
        <f t="shared" si="52"/>
        <v>3</v>
      </c>
      <c r="S406" s="218"/>
      <c r="T406" s="218"/>
      <c r="U406" s="219"/>
      <c r="V406" s="220"/>
      <c r="W406" s="218"/>
      <c r="X406" s="220"/>
      <c r="Y406" s="217"/>
      <c r="Z406" s="17"/>
    </row>
    <row r="407" spans="1:26" ht="32.1" customHeight="1" x14ac:dyDescent="0.2">
      <c r="A407" s="44" t="s">
        <v>757</v>
      </c>
      <c r="B407" s="44" t="s">
        <v>758</v>
      </c>
      <c r="C407" s="44" t="s">
        <v>759</v>
      </c>
      <c r="D407" s="44" t="s">
        <v>523</v>
      </c>
      <c r="E407" s="45">
        <f t="shared" si="53"/>
        <v>66</v>
      </c>
      <c r="F407" s="142" t="s">
        <v>656</v>
      </c>
      <c r="G407" s="142" t="s">
        <v>650</v>
      </c>
      <c r="H407" s="142" t="s">
        <v>650</v>
      </c>
      <c r="I407" s="142" t="s">
        <v>650</v>
      </c>
      <c r="J407" s="142" t="s">
        <v>650</v>
      </c>
      <c r="K407" s="142" t="s">
        <v>650</v>
      </c>
      <c r="L407" s="142">
        <v>1</v>
      </c>
      <c r="M407" s="142" t="str">
        <f t="shared" ca="1" si="54"/>
        <v>Aucune case cochée</v>
      </c>
      <c r="N407" s="142" t="str">
        <f t="shared" ca="1" si="51"/>
        <v>Aucune case cochée</v>
      </c>
      <c r="O407" s="47">
        <v>0</v>
      </c>
      <c r="P407" s="142">
        <f t="shared" ref="P407:P438" si="56">IF(O407="Non concerné",O407,O407*L407)</f>
        <v>0</v>
      </c>
      <c r="Q407" s="142">
        <f t="shared" ca="1" si="55"/>
        <v>3</v>
      </c>
      <c r="R407" s="142">
        <f t="shared" si="52"/>
        <v>3</v>
      </c>
      <c r="S407" s="218"/>
      <c r="T407" s="218"/>
      <c r="U407" s="219"/>
      <c r="V407" s="220"/>
      <c r="W407" s="218"/>
      <c r="X407" s="220"/>
      <c r="Y407" s="217"/>
      <c r="Z407" s="17"/>
    </row>
    <row r="408" spans="1:26" ht="32.1" customHeight="1" x14ac:dyDescent="0.2">
      <c r="A408" s="44" t="s">
        <v>757</v>
      </c>
      <c r="B408" s="44" t="s">
        <v>760</v>
      </c>
      <c r="C408" s="44" t="s">
        <v>761</v>
      </c>
      <c r="D408" s="44" t="s">
        <v>526</v>
      </c>
      <c r="E408" s="45">
        <f t="shared" si="53"/>
        <v>10</v>
      </c>
      <c r="F408" s="142" t="s">
        <v>649</v>
      </c>
      <c r="G408" s="142" t="s">
        <v>651</v>
      </c>
      <c r="H408" s="142" t="s">
        <v>651</v>
      </c>
      <c r="I408" s="142" t="s">
        <v>210</v>
      </c>
      <c r="J408" s="142" t="s">
        <v>210</v>
      </c>
      <c r="K408" s="142" t="s">
        <v>210</v>
      </c>
      <c r="L408" s="142">
        <v>2</v>
      </c>
      <c r="M408" s="142" t="str">
        <f t="shared" ca="1" si="54"/>
        <v>Aucune case cochée</v>
      </c>
      <c r="N408" s="142" t="str">
        <f t="shared" ca="1" si="51"/>
        <v>Aucune case cochée</v>
      </c>
      <c r="O408" s="47">
        <v>1</v>
      </c>
      <c r="P408" s="142">
        <f t="shared" si="56"/>
        <v>2</v>
      </c>
      <c r="Q408" s="142">
        <f t="shared" ca="1" si="55"/>
        <v>2</v>
      </c>
      <c r="R408" s="142">
        <f t="shared" si="52"/>
        <v>2</v>
      </c>
      <c r="S408" s="218">
        <f>SUM(P408:P415)</f>
        <v>12</v>
      </c>
      <c r="T408" s="218">
        <f>SUM(R408:R415)</f>
        <v>18</v>
      </c>
      <c r="U408" s="219">
        <f>+S408/T408</f>
        <v>0.66666666666666663</v>
      </c>
      <c r="V408" s="220">
        <f>IF(AND(O393=0,O408=1),30%,IF(AND(O393=1,O408=1),10%,0%))</f>
        <v>0.1</v>
      </c>
      <c r="W408" s="218"/>
      <c r="X408" s="220"/>
      <c r="Y408" s="217"/>
      <c r="Z408" s="17"/>
    </row>
    <row r="409" spans="1:26" ht="32.1" customHeight="1" x14ac:dyDescent="0.2">
      <c r="A409" s="44" t="s">
        <v>757</v>
      </c>
      <c r="B409" s="44" t="s">
        <v>760</v>
      </c>
      <c r="C409" s="44" t="s">
        <v>761</v>
      </c>
      <c r="D409" s="44" t="s">
        <v>527</v>
      </c>
      <c r="E409" s="45">
        <f t="shared" si="53"/>
        <v>12</v>
      </c>
      <c r="F409" s="142" t="s">
        <v>649</v>
      </c>
      <c r="G409" s="142" t="s">
        <v>651</v>
      </c>
      <c r="H409" s="142" t="s">
        <v>651</v>
      </c>
      <c r="I409" s="142" t="s">
        <v>210</v>
      </c>
      <c r="J409" s="142" t="s">
        <v>210</v>
      </c>
      <c r="K409" s="142" t="s">
        <v>210</v>
      </c>
      <c r="L409" s="142">
        <v>2</v>
      </c>
      <c r="M409" s="142" t="str">
        <f t="shared" ca="1" si="54"/>
        <v>Aucune case cochée</v>
      </c>
      <c r="N409" s="142" t="str">
        <f t="shared" ca="1" si="51"/>
        <v>Aucune case cochée</v>
      </c>
      <c r="O409" s="47">
        <v>1</v>
      </c>
      <c r="P409" s="142">
        <f t="shared" si="56"/>
        <v>2</v>
      </c>
      <c r="Q409" s="142">
        <f t="shared" ca="1" si="55"/>
        <v>2</v>
      </c>
      <c r="R409" s="142">
        <f t="shared" si="52"/>
        <v>2</v>
      </c>
      <c r="S409" s="218"/>
      <c r="T409" s="218"/>
      <c r="U409" s="219"/>
      <c r="V409" s="220"/>
      <c r="W409" s="218"/>
      <c r="X409" s="220"/>
      <c r="Y409" s="217"/>
      <c r="Z409" s="17"/>
    </row>
    <row r="410" spans="1:26" ht="32.1" customHeight="1" x14ac:dyDescent="0.2">
      <c r="A410" s="44" t="s">
        <v>757</v>
      </c>
      <c r="B410" s="44" t="s">
        <v>760</v>
      </c>
      <c r="C410" s="44" t="s">
        <v>761</v>
      </c>
      <c r="D410" s="44" t="s">
        <v>528</v>
      </c>
      <c r="E410" s="45">
        <f t="shared" si="53"/>
        <v>14</v>
      </c>
      <c r="F410" s="142" t="s">
        <v>649</v>
      </c>
      <c r="G410" s="142" t="s">
        <v>651</v>
      </c>
      <c r="H410" s="142" t="s">
        <v>651</v>
      </c>
      <c r="I410" s="142" t="s">
        <v>210</v>
      </c>
      <c r="J410" s="142" t="s">
        <v>210</v>
      </c>
      <c r="K410" s="142" t="s">
        <v>210</v>
      </c>
      <c r="L410" s="142">
        <v>2</v>
      </c>
      <c r="M410" s="142" t="str">
        <f t="shared" ca="1" si="54"/>
        <v>Aucune case cochée</v>
      </c>
      <c r="N410" s="142" t="str">
        <f t="shared" ca="1" si="51"/>
        <v>Aucune case cochée</v>
      </c>
      <c r="O410" s="47">
        <v>1</v>
      </c>
      <c r="P410" s="142">
        <f t="shared" si="56"/>
        <v>2</v>
      </c>
      <c r="Q410" s="142">
        <f t="shared" ca="1" si="55"/>
        <v>2</v>
      </c>
      <c r="R410" s="142">
        <f t="shared" si="52"/>
        <v>2</v>
      </c>
      <c r="S410" s="218"/>
      <c r="T410" s="218"/>
      <c r="U410" s="219"/>
      <c r="V410" s="220"/>
      <c r="W410" s="218"/>
      <c r="X410" s="220"/>
      <c r="Y410" s="217"/>
      <c r="Z410" s="17"/>
    </row>
    <row r="411" spans="1:26" ht="32.1" customHeight="1" x14ac:dyDescent="0.2">
      <c r="A411" s="44" t="s">
        <v>757</v>
      </c>
      <c r="B411" s="44" t="s">
        <v>760</v>
      </c>
      <c r="C411" s="44" t="s">
        <v>761</v>
      </c>
      <c r="D411" s="44" t="s">
        <v>529</v>
      </c>
      <c r="E411" s="45">
        <f t="shared" si="53"/>
        <v>16</v>
      </c>
      <c r="F411" s="142" t="s">
        <v>649</v>
      </c>
      <c r="G411" s="142" t="s">
        <v>651</v>
      </c>
      <c r="H411" s="142" t="s">
        <v>651</v>
      </c>
      <c r="I411" s="142" t="s">
        <v>210</v>
      </c>
      <c r="J411" s="142" t="s">
        <v>210</v>
      </c>
      <c r="K411" s="142" t="s">
        <v>210</v>
      </c>
      <c r="L411" s="142">
        <v>2</v>
      </c>
      <c r="M411" s="142" t="str">
        <f t="shared" ca="1" si="54"/>
        <v>Aucune case cochée</v>
      </c>
      <c r="N411" s="142" t="str">
        <f t="shared" ca="1" si="51"/>
        <v>Aucune case cochée</v>
      </c>
      <c r="O411" s="47">
        <v>1</v>
      </c>
      <c r="P411" s="142">
        <f t="shared" si="56"/>
        <v>2</v>
      </c>
      <c r="Q411" s="142">
        <f t="shared" ca="1" si="55"/>
        <v>2</v>
      </c>
      <c r="R411" s="142">
        <f t="shared" si="52"/>
        <v>2</v>
      </c>
      <c r="S411" s="218"/>
      <c r="T411" s="218"/>
      <c r="U411" s="219"/>
      <c r="V411" s="220"/>
      <c r="W411" s="218"/>
      <c r="X411" s="220"/>
      <c r="Y411" s="217"/>
      <c r="Z411" s="17"/>
    </row>
    <row r="412" spans="1:26" ht="32.1" customHeight="1" x14ac:dyDescent="0.2">
      <c r="A412" s="44" t="s">
        <v>757</v>
      </c>
      <c r="B412" s="44" t="s">
        <v>760</v>
      </c>
      <c r="C412" s="44" t="s">
        <v>761</v>
      </c>
      <c r="D412" s="44" t="s">
        <v>185</v>
      </c>
      <c r="E412" s="45">
        <f t="shared" si="53"/>
        <v>18</v>
      </c>
      <c r="F412" s="142" t="s">
        <v>649</v>
      </c>
      <c r="G412" s="142" t="s">
        <v>651</v>
      </c>
      <c r="H412" s="142" t="s">
        <v>651</v>
      </c>
      <c r="I412" s="142" t="s">
        <v>210</v>
      </c>
      <c r="J412" s="142" t="s">
        <v>210</v>
      </c>
      <c r="K412" s="142" t="s">
        <v>210</v>
      </c>
      <c r="L412" s="142">
        <v>2</v>
      </c>
      <c r="M412" s="142" t="str">
        <f t="shared" ca="1" si="54"/>
        <v>Aucune case cochée</v>
      </c>
      <c r="N412" s="142" t="str">
        <f t="shared" ca="1" si="51"/>
        <v>Aucune case cochée</v>
      </c>
      <c r="O412" s="47">
        <v>1</v>
      </c>
      <c r="P412" s="142">
        <f t="shared" si="56"/>
        <v>2</v>
      </c>
      <c r="Q412" s="142">
        <f t="shared" ca="1" si="55"/>
        <v>2</v>
      </c>
      <c r="R412" s="142">
        <f t="shared" si="52"/>
        <v>2</v>
      </c>
      <c r="S412" s="218"/>
      <c r="T412" s="218"/>
      <c r="U412" s="219"/>
      <c r="V412" s="220"/>
      <c r="W412" s="218"/>
      <c r="X412" s="220"/>
      <c r="Y412" s="217"/>
      <c r="Z412" s="17"/>
    </row>
    <row r="413" spans="1:26" ht="32.1" customHeight="1" x14ac:dyDescent="0.2">
      <c r="A413" s="44" t="s">
        <v>757</v>
      </c>
      <c r="B413" s="44" t="s">
        <v>760</v>
      </c>
      <c r="C413" s="44" t="s">
        <v>761</v>
      </c>
      <c r="D413" s="44" t="s">
        <v>530</v>
      </c>
      <c r="E413" s="45">
        <f t="shared" si="53"/>
        <v>20</v>
      </c>
      <c r="F413" s="142" t="s">
        <v>656</v>
      </c>
      <c r="G413" s="142" t="s">
        <v>651</v>
      </c>
      <c r="H413" s="142" t="s">
        <v>651</v>
      </c>
      <c r="I413" s="142" t="s">
        <v>210</v>
      </c>
      <c r="J413" s="142" t="s">
        <v>210</v>
      </c>
      <c r="K413" s="142" t="s">
        <v>210</v>
      </c>
      <c r="L413" s="142">
        <v>1</v>
      </c>
      <c r="M413" s="142" t="str">
        <f t="shared" ca="1" si="54"/>
        <v>Aucune case cochée</v>
      </c>
      <c r="N413" s="142" t="str">
        <f t="shared" ca="1" si="51"/>
        <v>Aucune case cochée</v>
      </c>
      <c r="O413" s="47">
        <v>0</v>
      </c>
      <c r="P413" s="142">
        <f t="shared" si="56"/>
        <v>0</v>
      </c>
      <c r="Q413" s="142">
        <f t="shared" ca="1" si="55"/>
        <v>3</v>
      </c>
      <c r="R413" s="142">
        <f t="shared" si="52"/>
        <v>3</v>
      </c>
      <c r="S413" s="218"/>
      <c r="T413" s="218"/>
      <c r="U413" s="219"/>
      <c r="V413" s="220"/>
      <c r="W413" s="218"/>
      <c r="X413" s="220"/>
      <c r="Y413" s="217"/>
      <c r="Z413" s="17"/>
    </row>
    <row r="414" spans="1:26" ht="32.1" customHeight="1" x14ac:dyDescent="0.2">
      <c r="A414" s="44" t="s">
        <v>757</v>
      </c>
      <c r="B414" s="44" t="s">
        <v>760</v>
      </c>
      <c r="C414" s="44" t="s">
        <v>761</v>
      </c>
      <c r="D414" s="44" t="s">
        <v>531</v>
      </c>
      <c r="E414" s="45">
        <f t="shared" si="53"/>
        <v>22</v>
      </c>
      <c r="F414" s="142" t="s">
        <v>656</v>
      </c>
      <c r="G414" s="142" t="s">
        <v>651</v>
      </c>
      <c r="H414" s="142" t="s">
        <v>651</v>
      </c>
      <c r="I414" s="142" t="s">
        <v>210</v>
      </c>
      <c r="J414" s="142" t="s">
        <v>210</v>
      </c>
      <c r="K414" s="142" t="s">
        <v>210</v>
      </c>
      <c r="L414" s="142">
        <v>1</v>
      </c>
      <c r="M414" s="142" t="str">
        <f t="shared" ca="1" si="54"/>
        <v>Aucune case cochée</v>
      </c>
      <c r="N414" s="142" t="str">
        <f t="shared" ca="1" si="51"/>
        <v>Aucune case cochée</v>
      </c>
      <c r="O414" s="47">
        <v>0</v>
      </c>
      <c r="P414" s="142">
        <f t="shared" si="56"/>
        <v>0</v>
      </c>
      <c r="Q414" s="142">
        <f t="shared" ca="1" si="55"/>
        <v>3</v>
      </c>
      <c r="R414" s="142">
        <f t="shared" si="52"/>
        <v>3</v>
      </c>
      <c r="S414" s="218"/>
      <c r="T414" s="218"/>
      <c r="U414" s="219"/>
      <c r="V414" s="220"/>
      <c r="W414" s="218"/>
      <c r="X414" s="220"/>
      <c r="Y414" s="217"/>
      <c r="Z414" s="17"/>
    </row>
    <row r="415" spans="1:26" ht="32.1" customHeight="1" x14ac:dyDescent="0.2">
      <c r="A415" s="44" t="s">
        <v>757</v>
      </c>
      <c r="B415" s="44" t="s">
        <v>760</v>
      </c>
      <c r="C415" s="44" t="s">
        <v>761</v>
      </c>
      <c r="D415" s="44" t="s">
        <v>532</v>
      </c>
      <c r="E415" s="45">
        <f t="shared" si="53"/>
        <v>24</v>
      </c>
      <c r="F415" s="142" t="s">
        <v>649</v>
      </c>
      <c r="G415" s="142" t="s">
        <v>651</v>
      </c>
      <c r="H415" s="142" t="s">
        <v>651</v>
      </c>
      <c r="I415" s="142" t="s">
        <v>210</v>
      </c>
      <c r="J415" s="142" t="s">
        <v>210</v>
      </c>
      <c r="K415" s="142" t="s">
        <v>210</v>
      </c>
      <c r="L415" s="142">
        <v>2</v>
      </c>
      <c r="M415" s="142" t="str">
        <f t="shared" ca="1" si="54"/>
        <v>Aucune case cochée</v>
      </c>
      <c r="N415" s="142" t="str">
        <f t="shared" ca="1" si="51"/>
        <v>Aucune case cochée</v>
      </c>
      <c r="O415" s="47">
        <v>1</v>
      </c>
      <c r="P415" s="142">
        <f t="shared" si="56"/>
        <v>2</v>
      </c>
      <c r="Q415" s="142">
        <f t="shared" ca="1" si="55"/>
        <v>2</v>
      </c>
      <c r="R415" s="142">
        <f t="shared" si="52"/>
        <v>2</v>
      </c>
      <c r="S415" s="218"/>
      <c r="T415" s="218"/>
      <c r="U415" s="219"/>
      <c r="V415" s="220"/>
      <c r="W415" s="218"/>
      <c r="X415" s="220"/>
      <c r="Y415" s="217"/>
      <c r="Z415" s="17"/>
    </row>
    <row r="416" spans="1:26" ht="32.1" customHeight="1" x14ac:dyDescent="0.2">
      <c r="A416" s="44" t="s">
        <v>757</v>
      </c>
      <c r="B416" s="44" t="s">
        <v>760</v>
      </c>
      <c r="C416" s="44" t="s">
        <v>762</v>
      </c>
      <c r="D416" s="44" t="s">
        <v>534</v>
      </c>
      <c r="E416" s="45">
        <f t="shared" si="53"/>
        <v>27</v>
      </c>
      <c r="F416" s="142" t="s">
        <v>649</v>
      </c>
      <c r="G416" s="142" t="s">
        <v>650</v>
      </c>
      <c r="H416" s="142" t="s">
        <v>650</v>
      </c>
      <c r="I416" s="142" t="s">
        <v>651</v>
      </c>
      <c r="J416" s="142" t="s">
        <v>210</v>
      </c>
      <c r="K416" s="142" t="s">
        <v>210</v>
      </c>
      <c r="L416" s="142">
        <v>2</v>
      </c>
      <c r="M416" s="142" t="str">
        <f t="shared" ca="1" si="54"/>
        <v>Aucune case cochée</v>
      </c>
      <c r="N416" s="142" t="str">
        <f t="shared" ca="1" si="51"/>
        <v>Aucune case cochée</v>
      </c>
      <c r="O416" s="47">
        <v>1</v>
      </c>
      <c r="P416" s="142">
        <f t="shared" si="56"/>
        <v>2</v>
      </c>
      <c r="Q416" s="142">
        <f t="shared" ca="1" si="55"/>
        <v>2</v>
      </c>
      <c r="R416" s="142">
        <f t="shared" si="52"/>
        <v>2</v>
      </c>
      <c r="S416" s="218">
        <f>SUM(P416:P423)</f>
        <v>12</v>
      </c>
      <c r="T416" s="218">
        <f>SUM(R416:R423)</f>
        <v>18</v>
      </c>
      <c r="U416" s="219">
        <f>+S416/T416</f>
        <v>0.66666666666666663</v>
      </c>
      <c r="V416" s="220">
        <v>0.1</v>
      </c>
      <c r="W416" s="218"/>
      <c r="X416" s="220"/>
      <c r="Y416" s="217"/>
      <c r="Z416" s="17"/>
    </row>
    <row r="417" spans="1:26" ht="32.1" customHeight="1" x14ac:dyDescent="0.2">
      <c r="A417" s="44" t="s">
        <v>757</v>
      </c>
      <c r="B417" s="44" t="s">
        <v>760</v>
      </c>
      <c r="C417" s="44" t="s">
        <v>762</v>
      </c>
      <c r="D417" s="44" t="s">
        <v>535</v>
      </c>
      <c r="E417" s="45">
        <f t="shared" si="53"/>
        <v>29</v>
      </c>
      <c r="F417" s="142" t="s">
        <v>649</v>
      </c>
      <c r="G417" s="142" t="s">
        <v>650</v>
      </c>
      <c r="H417" s="142" t="s">
        <v>650</v>
      </c>
      <c r="I417" s="142" t="s">
        <v>650</v>
      </c>
      <c r="J417" s="142" t="s">
        <v>650</v>
      </c>
      <c r="K417" s="142" t="s">
        <v>650</v>
      </c>
      <c r="L417" s="142">
        <v>2</v>
      </c>
      <c r="M417" s="142" t="str">
        <f t="shared" ca="1" si="54"/>
        <v>Aucune case cochée</v>
      </c>
      <c r="N417" s="142" t="str">
        <f t="shared" ca="1" si="51"/>
        <v>Aucune case cochée</v>
      </c>
      <c r="O417" s="47">
        <v>1</v>
      </c>
      <c r="P417" s="142">
        <f t="shared" si="56"/>
        <v>2</v>
      </c>
      <c r="Q417" s="142">
        <f t="shared" ca="1" si="55"/>
        <v>2</v>
      </c>
      <c r="R417" s="142">
        <f t="shared" si="52"/>
        <v>2</v>
      </c>
      <c r="S417" s="218"/>
      <c r="T417" s="218"/>
      <c r="U417" s="219"/>
      <c r="V417" s="220"/>
      <c r="W417" s="218"/>
      <c r="X417" s="220"/>
      <c r="Y417" s="217"/>
      <c r="Z417" s="17"/>
    </row>
    <row r="418" spans="1:26" ht="32.1" customHeight="1" x14ac:dyDescent="0.2">
      <c r="A418" s="44" t="s">
        <v>757</v>
      </c>
      <c r="B418" s="44" t="s">
        <v>760</v>
      </c>
      <c r="C418" s="44" t="s">
        <v>762</v>
      </c>
      <c r="D418" s="44" t="s">
        <v>536</v>
      </c>
      <c r="E418" s="45">
        <f t="shared" si="53"/>
        <v>31</v>
      </c>
      <c r="F418" s="142" t="s">
        <v>649</v>
      </c>
      <c r="G418" s="142" t="s">
        <v>650</v>
      </c>
      <c r="H418" s="142" t="s">
        <v>650</v>
      </c>
      <c r="I418" s="142" t="s">
        <v>651</v>
      </c>
      <c r="J418" s="142" t="s">
        <v>210</v>
      </c>
      <c r="K418" s="142" t="s">
        <v>210</v>
      </c>
      <c r="L418" s="142">
        <v>2</v>
      </c>
      <c r="M418" s="142" t="str">
        <f t="shared" ca="1" si="54"/>
        <v>Aucune case cochée</v>
      </c>
      <c r="N418" s="142" t="str">
        <f t="shared" ca="1" si="51"/>
        <v>Aucune case cochée</v>
      </c>
      <c r="O418" s="47">
        <v>1</v>
      </c>
      <c r="P418" s="142">
        <f t="shared" si="56"/>
        <v>2</v>
      </c>
      <c r="Q418" s="142">
        <f t="shared" ca="1" si="55"/>
        <v>2</v>
      </c>
      <c r="R418" s="142">
        <f t="shared" si="52"/>
        <v>2</v>
      </c>
      <c r="S418" s="218"/>
      <c r="T418" s="218"/>
      <c r="U418" s="219"/>
      <c r="V418" s="220"/>
      <c r="W418" s="218"/>
      <c r="X418" s="220"/>
      <c r="Y418" s="217"/>
      <c r="Z418" s="17"/>
    </row>
    <row r="419" spans="1:26" ht="32.1" customHeight="1" x14ac:dyDescent="0.2">
      <c r="A419" s="44" t="s">
        <v>757</v>
      </c>
      <c r="B419" s="44" t="s">
        <v>760</v>
      </c>
      <c r="C419" s="44" t="s">
        <v>762</v>
      </c>
      <c r="D419" s="44" t="s">
        <v>537</v>
      </c>
      <c r="E419" s="45">
        <f t="shared" si="53"/>
        <v>33</v>
      </c>
      <c r="F419" s="142" t="s">
        <v>649</v>
      </c>
      <c r="G419" s="142" t="s">
        <v>650</v>
      </c>
      <c r="H419" s="142" t="s">
        <v>650</v>
      </c>
      <c r="I419" s="142" t="s">
        <v>650</v>
      </c>
      <c r="J419" s="142" t="s">
        <v>650</v>
      </c>
      <c r="K419" s="142" t="s">
        <v>650</v>
      </c>
      <c r="L419" s="142">
        <v>2</v>
      </c>
      <c r="M419" s="142" t="str">
        <f t="shared" ca="1" si="54"/>
        <v>Aucune case cochée</v>
      </c>
      <c r="N419" s="142" t="str">
        <f t="shared" ca="1" si="51"/>
        <v>Aucune case cochée</v>
      </c>
      <c r="O419" s="47">
        <v>1</v>
      </c>
      <c r="P419" s="142">
        <f t="shared" si="56"/>
        <v>2</v>
      </c>
      <c r="Q419" s="142">
        <f t="shared" ca="1" si="55"/>
        <v>2</v>
      </c>
      <c r="R419" s="142">
        <f t="shared" si="52"/>
        <v>2</v>
      </c>
      <c r="S419" s="218"/>
      <c r="T419" s="218"/>
      <c r="U419" s="219"/>
      <c r="V419" s="220"/>
      <c r="W419" s="218"/>
      <c r="X419" s="220"/>
      <c r="Y419" s="217"/>
      <c r="Z419" s="17"/>
    </row>
    <row r="420" spans="1:26" ht="32.1" customHeight="1" x14ac:dyDescent="0.2">
      <c r="A420" s="44" t="s">
        <v>757</v>
      </c>
      <c r="B420" s="44" t="s">
        <v>760</v>
      </c>
      <c r="C420" s="44" t="s">
        <v>762</v>
      </c>
      <c r="D420" s="44" t="s">
        <v>538</v>
      </c>
      <c r="E420" s="45">
        <f t="shared" si="53"/>
        <v>35</v>
      </c>
      <c r="F420" s="142" t="s">
        <v>649</v>
      </c>
      <c r="G420" s="142" t="s">
        <v>651</v>
      </c>
      <c r="H420" s="142" t="s">
        <v>210</v>
      </c>
      <c r="I420" s="142" t="s">
        <v>210</v>
      </c>
      <c r="J420" s="142" t="s">
        <v>210</v>
      </c>
      <c r="K420" s="142" t="s">
        <v>210</v>
      </c>
      <c r="L420" s="142">
        <v>2</v>
      </c>
      <c r="M420" s="142" t="str">
        <f t="shared" ca="1" si="54"/>
        <v>Aucune case cochée</v>
      </c>
      <c r="N420" s="142" t="str">
        <f t="shared" ca="1" si="51"/>
        <v>Aucune case cochée</v>
      </c>
      <c r="O420" s="47">
        <v>1</v>
      </c>
      <c r="P420" s="142">
        <f t="shared" si="56"/>
        <v>2</v>
      </c>
      <c r="Q420" s="142">
        <f t="shared" ca="1" si="55"/>
        <v>2</v>
      </c>
      <c r="R420" s="142">
        <f t="shared" si="52"/>
        <v>2</v>
      </c>
      <c r="S420" s="218"/>
      <c r="T420" s="218"/>
      <c r="U420" s="219"/>
      <c r="V420" s="220"/>
      <c r="W420" s="218"/>
      <c r="X420" s="220"/>
      <c r="Y420" s="217"/>
      <c r="Z420" s="17"/>
    </row>
    <row r="421" spans="1:26" ht="32.1" customHeight="1" x14ac:dyDescent="0.2">
      <c r="A421" s="44" t="s">
        <v>757</v>
      </c>
      <c r="B421" s="44" t="s">
        <v>760</v>
      </c>
      <c r="C421" s="44" t="s">
        <v>762</v>
      </c>
      <c r="D421" s="44" t="s">
        <v>539</v>
      </c>
      <c r="E421" s="45">
        <f t="shared" si="53"/>
        <v>37</v>
      </c>
      <c r="F421" s="142" t="s">
        <v>649</v>
      </c>
      <c r="G421" s="142" t="s">
        <v>210</v>
      </c>
      <c r="H421" s="142" t="s">
        <v>651</v>
      </c>
      <c r="I421" s="142" t="s">
        <v>651</v>
      </c>
      <c r="J421" s="142" t="s">
        <v>210</v>
      </c>
      <c r="K421" s="142" t="s">
        <v>210</v>
      </c>
      <c r="L421" s="142">
        <v>2</v>
      </c>
      <c r="M421" s="142" t="str">
        <f t="shared" ca="1" si="54"/>
        <v>Aucune case cochée</v>
      </c>
      <c r="N421" s="142" t="str">
        <f t="shared" ca="1" si="51"/>
        <v>Aucune case cochée</v>
      </c>
      <c r="O421" s="47">
        <v>1</v>
      </c>
      <c r="P421" s="142">
        <f t="shared" si="56"/>
        <v>2</v>
      </c>
      <c r="Q421" s="142">
        <f t="shared" ca="1" si="55"/>
        <v>2</v>
      </c>
      <c r="R421" s="142">
        <f t="shared" si="52"/>
        <v>2</v>
      </c>
      <c r="S421" s="218"/>
      <c r="T421" s="218"/>
      <c r="U421" s="219"/>
      <c r="V421" s="220"/>
      <c r="W421" s="218"/>
      <c r="X421" s="220"/>
      <c r="Y421" s="217"/>
      <c r="Z421" s="17"/>
    </row>
    <row r="422" spans="1:26" ht="32.1" customHeight="1" x14ac:dyDescent="0.2">
      <c r="A422" s="44" t="s">
        <v>757</v>
      </c>
      <c r="B422" s="44" t="s">
        <v>760</v>
      </c>
      <c r="C422" s="44" t="s">
        <v>762</v>
      </c>
      <c r="D422" s="44" t="s">
        <v>540</v>
      </c>
      <c r="E422" s="45">
        <f t="shared" si="53"/>
        <v>39</v>
      </c>
      <c r="F422" s="142" t="s">
        <v>656</v>
      </c>
      <c r="G422" s="142" t="s">
        <v>650</v>
      </c>
      <c r="H422" s="142" t="s">
        <v>650</v>
      </c>
      <c r="I422" s="142" t="s">
        <v>650</v>
      </c>
      <c r="J422" s="142" t="s">
        <v>650</v>
      </c>
      <c r="K422" s="142" t="s">
        <v>650</v>
      </c>
      <c r="L422" s="142">
        <v>1</v>
      </c>
      <c r="M422" s="142" t="str">
        <f t="shared" ca="1" si="54"/>
        <v>Aucune case cochée</v>
      </c>
      <c r="N422" s="142" t="str">
        <f t="shared" ca="1" si="51"/>
        <v>Aucune case cochée</v>
      </c>
      <c r="O422" s="47">
        <v>0</v>
      </c>
      <c r="P422" s="142">
        <f t="shared" si="56"/>
        <v>0</v>
      </c>
      <c r="Q422" s="142">
        <f t="shared" ca="1" si="55"/>
        <v>3</v>
      </c>
      <c r="R422" s="142">
        <f t="shared" si="52"/>
        <v>3</v>
      </c>
      <c r="S422" s="218"/>
      <c r="T422" s="218"/>
      <c r="U422" s="219"/>
      <c r="V422" s="220"/>
      <c r="W422" s="218"/>
      <c r="X422" s="220"/>
      <c r="Y422" s="217"/>
      <c r="Z422" s="17"/>
    </row>
    <row r="423" spans="1:26" ht="32.1" customHeight="1" x14ac:dyDescent="0.2">
      <c r="A423" s="44" t="s">
        <v>757</v>
      </c>
      <c r="B423" s="44" t="s">
        <v>760</v>
      </c>
      <c r="C423" s="44" t="s">
        <v>762</v>
      </c>
      <c r="D423" s="44" t="s">
        <v>541</v>
      </c>
      <c r="E423" s="45">
        <f t="shared" si="53"/>
        <v>41</v>
      </c>
      <c r="F423" s="142" t="s">
        <v>656</v>
      </c>
      <c r="G423" s="142" t="s">
        <v>650</v>
      </c>
      <c r="H423" s="142" t="s">
        <v>650</v>
      </c>
      <c r="I423" s="142" t="s">
        <v>650</v>
      </c>
      <c r="J423" s="142" t="s">
        <v>650</v>
      </c>
      <c r="K423" s="142" t="s">
        <v>650</v>
      </c>
      <c r="L423" s="142">
        <v>1</v>
      </c>
      <c r="M423" s="142" t="str">
        <f t="shared" ca="1" si="54"/>
        <v>Aucune case cochée</v>
      </c>
      <c r="N423" s="142" t="str">
        <f t="shared" ca="1" si="51"/>
        <v>Aucune case cochée</v>
      </c>
      <c r="O423" s="47">
        <v>0</v>
      </c>
      <c r="P423" s="142">
        <f t="shared" si="56"/>
        <v>0</v>
      </c>
      <c r="Q423" s="142">
        <f t="shared" ca="1" si="55"/>
        <v>3</v>
      </c>
      <c r="R423" s="142">
        <f t="shared" si="52"/>
        <v>3</v>
      </c>
      <c r="S423" s="218"/>
      <c r="T423" s="218"/>
      <c r="U423" s="219"/>
      <c r="V423" s="220"/>
      <c r="W423" s="218"/>
      <c r="X423" s="220"/>
      <c r="Y423" s="217"/>
      <c r="Z423" s="17"/>
    </row>
    <row r="424" spans="1:26" ht="32.1" customHeight="1" x14ac:dyDescent="0.2">
      <c r="A424" s="44" t="s">
        <v>757</v>
      </c>
      <c r="B424" s="44" t="s">
        <v>760</v>
      </c>
      <c r="C424" s="44" t="s">
        <v>763</v>
      </c>
      <c r="D424" s="44" t="s">
        <v>543</v>
      </c>
      <c r="E424" s="45">
        <f t="shared" si="53"/>
        <v>44</v>
      </c>
      <c r="F424" s="142" t="s">
        <v>649</v>
      </c>
      <c r="G424" s="142" t="s">
        <v>650</v>
      </c>
      <c r="H424" s="142" t="s">
        <v>650</v>
      </c>
      <c r="I424" s="142" t="s">
        <v>650</v>
      </c>
      <c r="J424" s="142" t="s">
        <v>650</v>
      </c>
      <c r="K424" s="142" t="s">
        <v>650</v>
      </c>
      <c r="L424" s="142">
        <v>2</v>
      </c>
      <c r="M424" s="142" t="str">
        <f t="shared" ca="1" si="54"/>
        <v>Aucune case cochée</v>
      </c>
      <c r="N424" s="142" t="str">
        <f t="shared" ca="1" si="51"/>
        <v>Aucune case cochée</v>
      </c>
      <c r="O424" s="47">
        <v>1</v>
      </c>
      <c r="P424" s="142">
        <f t="shared" si="56"/>
        <v>2</v>
      </c>
      <c r="Q424" s="142">
        <f t="shared" ca="1" si="55"/>
        <v>2</v>
      </c>
      <c r="R424" s="142">
        <f t="shared" si="52"/>
        <v>2</v>
      </c>
      <c r="S424" s="218">
        <f>SUM(P424:P431)</f>
        <v>12</v>
      </c>
      <c r="T424" s="218">
        <f>SUM(R424:R431)</f>
        <v>18</v>
      </c>
      <c r="U424" s="219">
        <f>+S424/T424</f>
        <v>0.66666666666666663</v>
      </c>
      <c r="V424" s="220">
        <v>0.1</v>
      </c>
      <c r="W424" s="218"/>
      <c r="X424" s="220"/>
      <c r="Y424" s="217"/>
      <c r="Z424" s="17"/>
    </row>
    <row r="425" spans="1:26" ht="32.1" customHeight="1" x14ac:dyDescent="0.2">
      <c r="A425" s="44" t="s">
        <v>757</v>
      </c>
      <c r="B425" s="44" t="s">
        <v>760</v>
      </c>
      <c r="C425" s="44" t="s">
        <v>763</v>
      </c>
      <c r="D425" s="44" t="s">
        <v>544</v>
      </c>
      <c r="E425" s="45">
        <f t="shared" si="53"/>
        <v>46</v>
      </c>
      <c r="F425" s="142" t="s">
        <v>649</v>
      </c>
      <c r="G425" s="142" t="s">
        <v>650</v>
      </c>
      <c r="H425" s="142" t="s">
        <v>651</v>
      </c>
      <c r="I425" s="142" t="s">
        <v>210</v>
      </c>
      <c r="J425" s="142" t="s">
        <v>210</v>
      </c>
      <c r="K425" s="142" t="s">
        <v>210</v>
      </c>
      <c r="L425" s="142">
        <v>2</v>
      </c>
      <c r="M425" s="142" t="str">
        <f t="shared" ca="1" si="54"/>
        <v>Aucune case cochée</v>
      </c>
      <c r="N425" s="142" t="str">
        <f t="shared" ca="1" si="51"/>
        <v>Aucune case cochée</v>
      </c>
      <c r="O425" s="47">
        <v>1</v>
      </c>
      <c r="P425" s="142">
        <f t="shared" si="56"/>
        <v>2</v>
      </c>
      <c r="Q425" s="142">
        <f t="shared" ca="1" si="55"/>
        <v>2</v>
      </c>
      <c r="R425" s="142">
        <f t="shared" si="52"/>
        <v>2</v>
      </c>
      <c r="S425" s="218"/>
      <c r="T425" s="218"/>
      <c r="U425" s="219"/>
      <c r="V425" s="220"/>
      <c r="W425" s="218"/>
      <c r="X425" s="220"/>
      <c r="Y425" s="217"/>
      <c r="Z425" s="17"/>
    </row>
    <row r="426" spans="1:26" ht="32.1" customHeight="1" x14ac:dyDescent="0.2">
      <c r="A426" s="44" t="s">
        <v>757</v>
      </c>
      <c r="B426" s="44" t="s">
        <v>760</v>
      </c>
      <c r="C426" s="44" t="s">
        <v>763</v>
      </c>
      <c r="D426" s="44" t="s">
        <v>545</v>
      </c>
      <c r="E426" s="45">
        <f t="shared" si="53"/>
        <v>48</v>
      </c>
      <c r="F426" s="142" t="s">
        <v>649</v>
      </c>
      <c r="G426" s="142" t="s">
        <v>650</v>
      </c>
      <c r="H426" s="142" t="s">
        <v>651</v>
      </c>
      <c r="I426" s="142" t="s">
        <v>210</v>
      </c>
      <c r="J426" s="142" t="s">
        <v>210</v>
      </c>
      <c r="K426" s="142" t="s">
        <v>210</v>
      </c>
      <c r="L426" s="142">
        <v>2</v>
      </c>
      <c r="M426" s="142" t="str">
        <f t="shared" ca="1" si="54"/>
        <v>Aucune case cochée</v>
      </c>
      <c r="N426" s="142" t="str">
        <f t="shared" ca="1" si="51"/>
        <v>Aucune case cochée</v>
      </c>
      <c r="O426" s="47">
        <v>1</v>
      </c>
      <c r="P426" s="142">
        <f t="shared" si="56"/>
        <v>2</v>
      </c>
      <c r="Q426" s="142">
        <f t="shared" ca="1" si="55"/>
        <v>2</v>
      </c>
      <c r="R426" s="142">
        <f t="shared" si="52"/>
        <v>2</v>
      </c>
      <c r="S426" s="218"/>
      <c r="T426" s="218"/>
      <c r="U426" s="219"/>
      <c r="V426" s="220"/>
      <c r="W426" s="218"/>
      <c r="X426" s="220"/>
      <c r="Y426" s="217"/>
      <c r="Z426" s="17"/>
    </row>
    <row r="427" spans="1:26" ht="32.1" customHeight="1" x14ac:dyDescent="0.2">
      <c r="A427" s="44" t="s">
        <v>757</v>
      </c>
      <c r="B427" s="44" t="s">
        <v>760</v>
      </c>
      <c r="C427" s="44" t="s">
        <v>763</v>
      </c>
      <c r="D427" s="44" t="s">
        <v>546</v>
      </c>
      <c r="E427" s="45">
        <f t="shared" si="53"/>
        <v>50</v>
      </c>
      <c r="F427" s="142" t="s">
        <v>649</v>
      </c>
      <c r="G427" s="142" t="s">
        <v>650</v>
      </c>
      <c r="H427" s="142" t="s">
        <v>650</v>
      </c>
      <c r="I427" s="142" t="s">
        <v>650</v>
      </c>
      <c r="J427" s="142" t="s">
        <v>650</v>
      </c>
      <c r="K427" s="142" t="s">
        <v>650</v>
      </c>
      <c r="L427" s="142">
        <v>2</v>
      </c>
      <c r="M427" s="142" t="str">
        <f t="shared" ca="1" si="54"/>
        <v>Aucune case cochée</v>
      </c>
      <c r="N427" s="142" t="str">
        <f t="shared" ca="1" si="51"/>
        <v>Aucune case cochée</v>
      </c>
      <c r="O427" s="47">
        <v>1</v>
      </c>
      <c r="P427" s="142">
        <f t="shared" si="56"/>
        <v>2</v>
      </c>
      <c r="Q427" s="142">
        <f t="shared" ca="1" si="55"/>
        <v>2</v>
      </c>
      <c r="R427" s="142">
        <f t="shared" si="52"/>
        <v>2</v>
      </c>
      <c r="S427" s="218"/>
      <c r="T427" s="218"/>
      <c r="U427" s="219"/>
      <c r="V427" s="220"/>
      <c r="W427" s="218"/>
      <c r="X427" s="220"/>
      <c r="Y427" s="217"/>
      <c r="Z427" s="17"/>
    </row>
    <row r="428" spans="1:26" ht="32.1" customHeight="1" x14ac:dyDescent="0.2">
      <c r="A428" s="44" t="s">
        <v>757</v>
      </c>
      <c r="B428" s="44" t="s">
        <v>760</v>
      </c>
      <c r="C428" s="44" t="s">
        <v>763</v>
      </c>
      <c r="D428" s="44" t="s">
        <v>547</v>
      </c>
      <c r="E428" s="45">
        <f t="shared" si="53"/>
        <v>52</v>
      </c>
      <c r="F428" s="142" t="s">
        <v>649</v>
      </c>
      <c r="G428" s="142" t="s">
        <v>650</v>
      </c>
      <c r="H428" s="142" t="s">
        <v>650</v>
      </c>
      <c r="I428" s="142" t="s">
        <v>650</v>
      </c>
      <c r="J428" s="142" t="s">
        <v>650</v>
      </c>
      <c r="K428" s="142" t="s">
        <v>650</v>
      </c>
      <c r="L428" s="142">
        <v>2</v>
      </c>
      <c r="M428" s="142" t="str">
        <f t="shared" ca="1" si="54"/>
        <v>Aucune case cochée</v>
      </c>
      <c r="N428" s="142" t="str">
        <f t="shared" ca="1" si="51"/>
        <v>Aucune case cochée</v>
      </c>
      <c r="O428" s="47">
        <v>1</v>
      </c>
      <c r="P428" s="142">
        <f t="shared" si="56"/>
        <v>2</v>
      </c>
      <c r="Q428" s="142">
        <f t="shared" ca="1" si="55"/>
        <v>2</v>
      </c>
      <c r="R428" s="142">
        <f t="shared" si="52"/>
        <v>2</v>
      </c>
      <c r="S428" s="218"/>
      <c r="T428" s="218"/>
      <c r="U428" s="219"/>
      <c r="V428" s="220"/>
      <c r="W428" s="218"/>
      <c r="X428" s="220"/>
      <c r="Y428" s="217"/>
      <c r="Z428" s="17"/>
    </row>
    <row r="429" spans="1:26" ht="32.1" customHeight="1" x14ac:dyDescent="0.2">
      <c r="A429" s="44" t="s">
        <v>757</v>
      </c>
      <c r="B429" s="44" t="s">
        <v>760</v>
      </c>
      <c r="C429" s="44" t="s">
        <v>763</v>
      </c>
      <c r="D429" s="44" t="s">
        <v>548</v>
      </c>
      <c r="E429" s="45">
        <f t="shared" si="53"/>
        <v>54</v>
      </c>
      <c r="F429" s="142" t="s">
        <v>649</v>
      </c>
      <c r="G429" s="142" t="s">
        <v>650</v>
      </c>
      <c r="H429" s="142" t="s">
        <v>650</v>
      </c>
      <c r="I429" s="142" t="s">
        <v>651</v>
      </c>
      <c r="J429" s="142" t="s">
        <v>210</v>
      </c>
      <c r="K429" s="142" t="s">
        <v>210</v>
      </c>
      <c r="L429" s="142">
        <v>2</v>
      </c>
      <c r="M429" s="142" t="str">
        <f t="shared" ca="1" si="54"/>
        <v>Aucune case cochée</v>
      </c>
      <c r="N429" s="142" t="str">
        <f t="shared" ca="1" si="51"/>
        <v>Aucune case cochée</v>
      </c>
      <c r="O429" s="47">
        <v>1</v>
      </c>
      <c r="P429" s="142">
        <f t="shared" si="56"/>
        <v>2</v>
      </c>
      <c r="Q429" s="142">
        <f t="shared" ca="1" si="55"/>
        <v>2</v>
      </c>
      <c r="R429" s="142">
        <f t="shared" si="52"/>
        <v>2</v>
      </c>
      <c r="S429" s="218"/>
      <c r="T429" s="218"/>
      <c r="U429" s="219"/>
      <c r="V429" s="220"/>
      <c r="W429" s="218"/>
      <c r="X429" s="220"/>
      <c r="Y429" s="217"/>
      <c r="Z429" s="17"/>
    </row>
    <row r="430" spans="1:26" ht="32.1" customHeight="1" x14ac:dyDescent="0.2">
      <c r="A430" s="44" t="s">
        <v>757</v>
      </c>
      <c r="B430" s="44" t="s">
        <v>760</v>
      </c>
      <c r="C430" s="44" t="s">
        <v>763</v>
      </c>
      <c r="D430" s="44" t="s">
        <v>549</v>
      </c>
      <c r="E430" s="45">
        <f t="shared" si="53"/>
        <v>56</v>
      </c>
      <c r="F430" s="142" t="s">
        <v>656</v>
      </c>
      <c r="G430" s="142" t="s">
        <v>650</v>
      </c>
      <c r="H430" s="142" t="s">
        <v>650</v>
      </c>
      <c r="I430" s="142" t="s">
        <v>650</v>
      </c>
      <c r="J430" s="142" t="s">
        <v>650</v>
      </c>
      <c r="K430" s="142" t="s">
        <v>650</v>
      </c>
      <c r="L430" s="142">
        <v>1</v>
      </c>
      <c r="M430" s="142" t="str">
        <f t="shared" ca="1" si="54"/>
        <v>Aucune case cochée</v>
      </c>
      <c r="N430" s="142" t="str">
        <f t="shared" ca="1" si="51"/>
        <v>Aucune case cochée</v>
      </c>
      <c r="O430" s="47">
        <v>0</v>
      </c>
      <c r="P430" s="142">
        <f t="shared" si="56"/>
        <v>0</v>
      </c>
      <c r="Q430" s="142">
        <f t="shared" ca="1" si="55"/>
        <v>3</v>
      </c>
      <c r="R430" s="142">
        <f t="shared" si="52"/>
        <v>3</v>
      </c>
      <c r="S430" s="218"/>
      <c r="T430" s="218"/>
      <c r="U430" s="219"/>
      <c r="V430" s="220"/>
      <c r="W430" s="218"/>
      <c r="X430" s="220"/>
      <c r="Y430" s="217"/>
      <c r="Z430" s="17"/>
    </row>
    <row r="431" spans="1:26" ht="32.1" customHeight="1" x14ac:dyDescent="0.2">
      <c r="A431" s="44" t="s">
        <v>757</v>
      </c>
      <c r="B431" s="44" t="s">
        <v>760</v>
      </c>
      <c r="C431" s="44" t="s">
        <v>763</v>
      </c>
      <c r="D431" s="44" t="s">
        <v>550</v>
      </c>
      <c r="E431" s="45">
        <f t="shared" si="53"/>
        <v>58</v>
      </c>
      <c r="F431" s="142" t="s">
        <v>656</v>
      </c>
      <c r="G431" s="142" t="s">
        <v>650</v>
      </c>
      <c r="H431" s="142" t="s">
        <v>650</v>
      </c>
      <c r="I431" s="142" t="s">
        <v>650</v>
      </c>
      <c r="J431" s="142" t="s">
        <v>650</v>
      </c>
      <c r="K431" s="142" t="s">
        <v>650</v>
      </c>
      <c r="L431" s="142">
        <v>1</v>
      </c>
      <c r="M431" s="142" t="str">
        <f t="shared" ca="1" si="54"/>
        <v>Aucune case cochée</v>
      </c>
      <c r="N431" s="142" t="str">
        <f t="shared" ca="1" si="51"/>
        <v>Aucune case cochée</v>
      </c>
      <c r="O431" s="47">
        <v>0</v>
      </c>
      <c r="P431" s="142">
        <f t="shared" si="56"/>
        <v>0</v>
      </c>
      <c r="Q431" s="142">
        <f t="shared" ca="1" si="55"/>
        <v>3</v>
      </c>
      <c r="R431" s="142">
        <f t="shared" si="52"/>
        <v>3</v>
      </c>
      <c r="S431" s="218"/>
      <c r="T431" s="218"/>
      <c r="U431" s="219"/>
      <c r="V431" s="220"/>
      <c r="W431" s="218"/>
      <c r="X431" s="220"/>
      <c r="Y431" s="217"/>
      <c r="Z431" s="17"/>
    </row>
    <row r="432" spans="1:26" ht="32.1" customHeight="1" x14ac:dyDescent="0.2">
      <c r="A432" s="44" t="s">
        <v>757</v>
      </c>
      <c r="B432" s="44" t="s">
        <v>764</v>
      </c>
      <c r="C432" s="44" t="s">
        <v>765</v>
      </c>
      <c r="D432" s="44" t="s">
        <v>553</v>
      </c>
      <c r="E432" s="45">
        <f t="shared" si="53"/>
        <v>10</v>
      </c>
      <c r="F432" s="142" t="s">
        <v>649</v>
      </c>
      <c r="G432" s="142" t="s">
        <v>650</v>
      </c>
      <c r="H432" s="142" t="s">
        <v>650</v>
      </c>
      <c r="I432" s="142" t="s">
        <v>650</v>
      </c>
      <c r="J432" s="142" t="s">
        <v>650</v>
      </c>
      <c r="K432" s="142" t="s">
        <v>650</v>
      </c>
      <c r="L432" s="142">
        <v>2</v>
      </c>
      <c r="M432" s="142" t="str">
        <f t="shared" ca="1" si="54"/>
        <v>Aucune case cochée</v>
      </c>
      <c r="N432" s="142" t="str">
        <f t="shared" ca="1" si="51"/>
        <v>Aucune case cochée</v>
      </c>
      <c r="O432" s="47">
        <v>1</v>
      </c>
      <c r="P432" s="142">
        <f t="shared" si="56"/>
        <v>2</v>
      </c>
      <c r="Q432" s="142">
        <f t="shared" ca="1" si="55"/>
        <v>2</v>
      </c>
      <c r="R432" s="142">
        <f t="shared" si="52"/>
        <v>2</v>
      </c>
      <c r="S432" s="218">
        <f>SUM(P432:P446)</f>
        <v>29</v>
      </c>
      <c r="T432" s="218">
        <f>SUM(R432:R446)</f>
        <v>29</v>
      </c>
      <c r="U432" s="219">
        <f>+S432/T432</f>
        <v>1</v>
      </c>
      <c r="V432" s="220">
        <v>0.1</v>
      </c>
      <c r="W432" s="218"/>
      <c r="X432" s="220"/>
      <c r="Y432" s="217"/>
      <c r="Z432" s="17"/>
    </row>
    <row r="433" spans="1:26" ht="32.1" customHeight="1" x14ac:dyDescent="0.2">
      <c r="A433" s="44" t="s">
        <v>757</v>
      </c>
      <c r="B433" s="44" t="s">
        <v>764</v>
      </c>
      <c r="C433" s="44" t="s">
        <v>765</v>
      </c>
      <c r="D433" s="44" t="s">
        <v>554</v>
      </c>
      <c r="E433" s="45">
        <f t="shared" si="53"/>
        <v>12</v>
      </c>
      <c r="F433" s="142" t="s">
        <v>649</v>
      </c>
      <c r="G433" s="142" t="s">
        <v>650</v>
      </c>
      <c r="H433" s="142" t="s">
        <v>650</v>
      </c>
      <c r="I433" s="142" t="s">
        <v>650</v>
      </c>
      <c r="J433" s="142" t="s">
        <v>650</v>
      </c>
      <c r="K433" s="142" t="s">
        <v>650</v>
      </c>
      <c r="L433" s="142">
        <v>2</v>
      </c>
      <c r="M433" s="142" t="str">
        <f t="shared" ca="1" si="54"/>
        <v>Aucune case cochée</v>
      </c>
      <c r="N433" s="142" t="str">
        <f t="shared" ca="1" si="51"/>
        <v>Aucune case cochée</v>
      </c>
      <c r="O433" s="47">
        <v>1</v>
      </c>
      <c r="P433" s="142">
        <f t="shared" si="56"/>
        <v>2</v>
      </c>
      <c r="Q433" s="142">
        <f t="shared" ca="1" si="55"/>
        <v>2</v>
      </c>
      <c r="R433" s="142">
        <f t="shared" si="52"/>
        <v>2</v>
      </c>
      <c r="S433" s="218"/>
      <c r="T433" s="218"/>
      <c r="U433" s="219"/>
      <c r="V433" s="220"/>
      <c r="W433" s="218"/>
      <c r="X433" s="220"/>
      <c r="Y433" s="217"/>
      <c r="Z433" s="17"/>
    </row>
    <row r="434" spans="1:26" ht="32.1" customHeight="1" x14ac:dyDescent="0.2">
      <c r="A434" s="44" t="s">
        <v>757</v>
      </c>
      <c r="B434" s="44" t="s">
        <v>764</v>
      </c>
      <c r="C434" s="44" t="s">
        <v>765</v>
      </c>
      <c r="D434" s="44" t="s">
        <v>555</v>
      </c>
      <c r="E434" s="45">
        <f t="shared" si="53"/>
        <v>14</v>
      </c>
      <c r="F434" s="142" t="s">
        <v>649</v>
      </c>
      <c r="G434" s="142" t="s">
        <v>650</v>
      </c>
      <c r="H434" s="142" t="s">
        <v>650</v>
      </c>
      <c r="I434" s="142" t="s">
        <v>650</v>
      </c>
      <c r="J434" s="142" t="s">
        <v>651</v>
      </c>
      <c r="K434" s="142" t="s">
        <v>210</v>
      </c>
      <c r="L434" s="142">
        <v>2</v>
      </c>
      <c r="M434" s="142" t="str">
        <f t="shared" ca="1" si="54"/>
        <v>Aucune case cochée</v>
      </c>
      <c r="N434" s="142" t="str">
        <f t="shared" ca="1" si="51"/>
        <v>Aucune case cochée</v>
      </c>
      <c r="O434" s="47">
        <v>1</v>
      </c>
      <c r="P434" s="142">
        <f t="shared" si="56"/>
        <v>2</v>
      </c>
      <c r="Q434" s="142">
        <f t="shared" ca="1" si="55"/>
        <v>2</v>
      </c>
      <c r="R434" s="142">
        <f t="shared" si="52"/>
        <v>2</v>
      </c>
      <c r="S434" s="218"/>
      <c r="T434" s="218"/>
      <c r="U434" s="219"/>
      <c r="V434" s="220"/>
      <c r="W434" s="218"/>
      <c r="X434" s="220"/>
      <c r="Y434" s="217"/>
      <c r="Z434" s="17"/>
    </row>
    <row r="435" spans="1:26" ht="32.1" customHeight="1" x14ac:dyDescent="0.2">
      <c r="A435" s="44" t="s">
        <v>757</v>
      </c>
      <c r="B435" s="44" t="s">
        <v>764</v>
      </c>
      <c r="C435" s="44" t="s">
        <v>765</v>
      </c>
      <c r="D435" s="44" t="s">
        <v>556</v>
      </c>
      <c r="E435" s="45">
        <f t="shared" si="53"/>
        <v>16</v>
      </c>
      <c r="F435" s="142" t="s">
        <v>649</v>
      </c>
      <c r="G435" s="142" t="s">
        <v>650</v>
      </c>
      <c r="H435" s="142" t="s">
        <v>651</v>
      </c>
      <c r="I435" s="142" t="s">
        <v>210</v>
      </c>
      <c r="J435" s="142" t="s">
        <v>210</v>
      </c>
      <c r="K435" s="142" t="s">
        <v>210</v>
      </c>
      <c r="L435" s="142">
        <v>2</v>
      </c>
      <c r="M435" s="142" t="str">
        <f t="shared" ca="1" si="54"/>
        <v>Aucune case cochée</v>
      </c>
      <c r="N435" s="142" t="str">
        <f t="shared" ca="1" si="51"/>
        <v>Aucune case cochée</v>
      </c>
      <c r="O435" s="47">
        <v>1</v>
      </c>
      <c r="P435" s="142">
        <f t="shared" si="56"/>
        <v>2</v>
      </c>
      <c r="Q435" s="142">
        <f t="shared" ca="1" si="55"/>
        <v>2</v>
      </c>
      <c r="R435" s="142">
        <f t="shared" si="52"/>
        <v>2</v>
      </c>
      <c r="S435" s="218"/>
      <c r="T435" s="218"/>
      <c r="U435" s="219"/>
      <c r="V435" s="220"/>
      <c r="W435" s="218"/>
      <c r="X435" s="220"/>
      <c r="Y435" s="217"/>
      <c r="Z435" s="17"/>
    </row>
    <row r="436" spans="1:26" ht="32.1" customHeight="1" x14ac:dyDescent="0.2">
      <c r="A436" s="44" t="s">
        <v>757</v>
      </c>
      <c r="B436" s="44" t="s">
        <v>764</v>
      </c>
      <c r="C436" s="44" t="s">
        <v>765</v>
      </c>
      <c r="D436" s="44" t="s">
        <v>557</v>
      </c>
      <c r="E436" s="45">
        <f t="shared" si="53"/>
        <v>18</v>
      </c>
      <c r="F436" s="142" t="s">
        <v>649</v>
      </c>
      <c r="G436" s="142" t="s">
        <v>651</v>
      </c>
      <c r="H436" s="142" t="s">
        <v>210</v>
      </c>
      <c r="I436" s="142" t="s">
        <v>210</v>
      </c>
      <c r="J436" s="142" t="s">
        <v>210</v>
      </c>
      <c r="K436" s="142" t="s">
        <v>210</v>
      </c>
      <c r="L436" s="142">
        <v>2</v>
      </c>
      <c r="M436" s="142" t="str">
        <f t="shared" ca="1" si="54"/>
        <v>Aucune case cochée</v>
      </c>
      <c r="N436" s="142" t="str">
        <f t="shared" ca="1" si="51"/>
        <v>Aucune case cochée</v>
      </c>
      <c r="O436" s="47">
        <v>1</v>
      </c>
      <c r="P436" s="142">
        <f t="shared" si="56"/>
        <v>2</v>
      </c>
      <c r="Q436" s="142">
        <f t="shared" ca="1" si="55"/>
        <v>2</v>
      </c>
      <c r="R436" s="142">
        <f t="shared" si="52"/>
        <v>2</v>
      </c>
      <c r="S436" s="218"/>
      <c r="T436" s="218"/>
      <c r="U436" s="219"/>
      <c r="V436" s="220"/>
      <c r="W436" s="218"/>
      <c r="X436" s="220"/>
      <c r="Y436" s="217"/>
      <c r="Z436" s="17"/>
    </row>
    <row r="437" spans="1:26" ht="32.1" customHeight="1" x14ac:dyDescent="0.2">
      <c r="A437" s="44" t="s">
        <v>757</v>
      </c>
      <c r="B437" s="44" t="s">
        <v>764</v>
      </c>
      <c r="C437" s="44" t="s">
        <v>765</v>
      </c>
      <c r="D437" s="44" t="s">
        <v>558</v>
      </c>
      <c r="E437" s="45">
        <f t="shared" si="53"/>
        <v>20</v>
      </c>
      <c r="F437" s="142" t="s">
        <v>649</v>
      </c>
      <c r="G437" s="142" t="s">
        <v>651</v>
      </c>
      <c r="H437" s="142" t="s">
        <v>210</v>
      </c>
      <c r="I437" s="142" t="s">
        <v>210</v>
      </c>
      <c r="J437" s="142" t="s">
        <v>210</v>
      </c>
      <c r="K437" s="142" t="s">
        <v>210</v>
      </c>
      <c r="L437" s="142">
        <v>2</v>
      </c>
      <c r="M437" s="142" t="str">
        <f t="shared" ca="1" si="54"/>
        <v>Aucune case cochée</v>
      </c>
      <c r="N437" s="142" t="str">
        <f t="shared" ca="1" si="51"/>
        <v>Aucune case cochée</v>
      </c>
      <c r="O437" s="47">
        <v>1</v>
      </c>
      <c r="P437" s="142">
        <f t="shared" si="56"/>
        <v>2</v>
      </c>
      <c r="Q437" s="142">
        <f t="shared" ca="1" si="55"/>
        <v>2</v>
      </c>
      <c r="R437" s="142">
        <f t="shared" si="52"/>
        <v>2</v>
      </c>
      <c r="S437" s="218"/>
      <c r="T437" s="218"/>
      <c r="U437" s="219"/>
      <c r="V437" s="220"/>
      <c r="W437" s="218"/>
      <c r="X437" s="220"/>
      <c r="Y437" s="217"/>
      <c r="Z437" s="17"/>
    </row>
    <row r="438" spans="1:26" ht="32.1" customHeight="1" x14ac:dyDescent="0.2">
      <c r="A438" s="44" t="s">
        <v>757</v>
      </c>
      <c r="B438" s="44" t="s">
        <v>764</v>
      </c>
      <c r="C438" s="44" t="s">
        <v>765</v>
      </c>
      <c r="D438" s="44" t="s">
        <v>559</v>
      </c>
      <c r="E438" s="45">
        <f t="shared" si="53"/>
        <v>22</v>
      </c>
      <c r="F438" s="142" t="s">
        <v>649</v>
      </c>
      <c r="G438" s="142" t="s">
        <v>650</v>
      </c>
      <c r="H438" s="142" t="s">
        <v>210</v>
      </c>
      <c r="I438" s="142" t="s">
        <v>210</v>
      </c>
      <c r="J438" s="142" t="s">
        <v>210</v>
      </c>
      <c r="K438" s="142" t="s">
        <v>210</v>
      </c>
      <c r="L438" s="142">
        <v>2</v>
      </c>
      <c r="M438" s="142" t="str">
        <f t="shared" ca="1" si="54"/>
        <v>Aucune case cochée</v>
      </c>
      <c r="N438" s="142" t="str">
        <f t="shared" ca="1" si="51"/>
        <v>Aucune case cochée</v>
      </c>
      <c r="O438" s="47">
        <v>1</v>
      </c>
      <c r="P438" s="142">
        <f t="shared" si="56"/>
        <v>2</v>
      </c>
      <c r="Q438" s="142">
        <f t="shared" ca="1" si="55"/>
        <v>2</v>
      </c>
      <c r="R438" s="142">
        <f t="shared" si="52"/>
        <v>2</v>
      </c>
      <c r="S438" s="218"/>
      <c r="T438" s="218"/>
      <c r="U438" s="219"/>
      <c r="V438" s="220"/>
      <c r="W438" s="218"/>
      <c r="X438" s="220"/>
      <c r="Y438" s="217"/>
      <c r="Z438" s="17"/>
    </row>
    <row r="439" spans="1:26" ht="32.1" customHeight="1" x14ac:dyDescent="0.2">
      <c r="A439" s="44" t="s">
        <v>757</v>
      </c>
      <c r="B439" s="44" t="s">
        <v>764</v>
      </c>
      <c r="C439" s="44" t="s">
        <v>765</v>
      </c>
      <c r="D439" s="44" t="s">
        <v>560</v>
      </c>
      <c r="E439" s="45">
        <f t="shared" si="53"/>
        <v>24</v>
      </c>
      <c r="F439" s="142" t="s">
        <v>649</v>
      </c>
      <c r="G439" s="142" t="s">
        <v>650</v>
      </c>
      <c r="H439" s="142" t="s">
        <v>650</v>
      </c>
      <c r="I439" s="142" t="s">
        <v>650</v>
      </c>
      <c r="J439" s="142" t="s">
        <v>651</v>
      </c>
      <c r="K439" s="142" t="s">
        <v>210</v>
      </c>
      <c r="L439" s="142">
        <v>2</v>
      </c>
      <c r="M439" s="142" t="str">
        <f t="shared" ca="1" si="54"/>
        <v>Aucune case cochée</v>
      </c>
      <c r="N439" s="142" t="str">
        <f t="shared" ca="1" si="51"/>
        <v>Aucune case cochée</v>
      </c>
      <c r="O439" s="47">
        <v>1</v>
      </c>
      <c r="P439" s="142">
        <f t="shared" ref="P439:P470" si="57">IF(O439="Non concerné",O439,O439*L439)</f>
        <v>2</v>
      </c>
      <c r="Q439" s="142">
        <f t="shared" ca="1" si="55"/>
        <v>2</v>
      </c>
      <c r="R439" s="142">
        <f t="shared" si="52"/>
        <v>2</v>
      </c>
      <c r="S439" s="218"/>
      <c r="T439" s="218"/>
      <c r="U439" s="219"/>
      <c r="V439" s="220"/>
      <c r="W439" s="218"/>
      <c r="X439" s="220"/>
      <c r="Y439" s="217"/>
      <c r="Z439" s="17"/>
    </row>
    <row r="440" spans="1:26" ht="32.1" customHeight="1" x14ac:dyDescent="0.2">
      <c r="A440" s="44" t="s">
        <v>757</v>
      </c>
      <c r="B440" s="44" t="s">
        <v>764</v>
      </c>
      <c r="C440" s="44" t="s">
        <v>765</v>
      </c>
      <c r="D440" s="44" t="s">
        <v>561</v>
      </c>
      <c r="E440" s="45">
        <f t="shared" si="53"/>
        <v>26</v>
      </c>
      <c r="F440" s="142" t="s">
        <v>649</v>
      </c>
      <c r="G440" s="142" t="s">
        <v>650</v>
      </c>
      <c r="H440" s="142" t="s">
        <v>210</v>
      </c>
      <c r="I440" s="142" t="s">
        <v>210</v>
      </c>
      <c r="J440" s="142" t="s">
        <v>210</v>
      </c>
      <c r="K440" s="142" t="s">
        <v>210</v>
      </c>
      <c r="L440" s="142">
        <v>2</v>
      </c>
      <c r="M440" s="142" t="str">
        <f t="shared" ca="1" si="54"/>
        <v>Aucune case cochée</v>
      </c>
      <c r="N440" s="142" t="str">
        <f t="shared" ref="N440:N495" ca="1" si="58">IF(M440="Aucune case cochée",M440,IF(M440="NC","Non concerné",IF(M440="Oui",1*L440,IF(M440="Non",0,L440*M440))))</f>
        <v>Aucune case cochée</v>
      </c>
      <c r="O440" s="47">
        <v>1</v>
      </c>
      <c r="P440" s="142">
        <f t="shared" si="57"/>
        <v>2</v>
      </c>
      <c r="Q440" s="142">
        <f t="shared" ca="1" si="55"/>
        <v>2</v>
      </c>
      <c r="R440" s="142">
        <f t="shared" si="52"/>
        <v>2</v>
      </c>
      <c r="S440" s="218"/>
      <c r="T440" s="218"/>
      <c r="U440" s="219"/>
      <c r="V440" s="220"/>
      <c r="W440" s="218"/>
      <c r="X440" s="220"/>
      <c r="Y440" s="217"/>
      <c r="Z440" s="17"/>
    </row>
    <row r="441" spans="1:26" ht="32.1" customHeight="1" x14ac:dyDescent="0.2">
      <c r="A441" s="44" t="s">
        <v>757</v>
      </c>
      <c r="B441" s="44" t="s">
        <v>764</v>
      </c>
      <c r="C441" s="44" t="s">
        <v>765</v>
      </c>
      <c r="D441" s="44" t="s">
        <v>562</v>
      </c>
      <c r="E441" s="45">
        <f t="shared" si="53"/>
        <v>28</v>
      </c>
      <c r="F441" s="142" t="s">
        <v>649</v>
      </c>
      <c r="G441" s="142" t="s">
        <v>650</v>
      </c>
      <c r="H441" s="142" t="s">
        <v>210</v>
      </c>
      <c r="I441" s="142" t="s">
        <v>210</v>
      </c>
      <c r="J441" s="142" t="s">
        <v>210</v>
      </c>
      <c r="K441" s="142" t="s">
        <v>210</v>
      </c>
      <c r="L441" s="142">
        <v>2</v>
      </c>
      <c r="M441" s="142" t="str">
        <f t="shared" ca="1" si="54"/>
        <v>Aucune case cochée</v>
      </c>
      <c r="N441" s="142" t="str">
        <f t="shared" ca="1" si="58"/>
        <v>Aucune case cochée</v>
      </c>
      <c r="O441" s="47">
        <v>1</v>
      </c>
      <c r="P441" s="142">
        <f t="shared" si="57"/>
        <v>2</v>
      </c>
      <c r="Q441" s="142">
        <f t="shared" ca="1" si="55"/>
        <v>2</v>
      </c>
      <c r="R441" s="142">
        <f t="shared" si="52"/>
        <v>2</v>
      </c>
      <c r="S441" s="218"/>
      <c r="T441" s="218"/>
      <c r="U441" s="219"/>
      <c r="V441" s="220"/>
      <c r="W441" s="218"/>
      <c r="X441" s="220"/>
      <c r="Y441" s="217"/>
      <c r="Z441" s="17"/>
    </row>
    <row r="442" spans="1:26" ht="32.1" customHeight="1" x14ac:dyDescent="0.2">
      <c r="A442" s="44" t="s">
        <v>757</v>
      </c>
      <c r="B442" s="44" t="s">
        <v>764</v>
      </c>
      <c r="C442" s="44" t="s">
        <v>765</v>
      </c>
      <c r="D442" s="44" t="s">
        <v>563</v>
      </c>
      <c r="E442" s="45">
        <f t="shared" si="53"/>
        <v>30</v>
      </c>
      <c r="F442" s="142" t="s">
        <v>649</v>
      </c>
      <c r="G442" s="142" t="s">
        <v>651</v>
      </c>
      <c r="H442" s="142" t="s">
        <v>210</v>
      </c>
      <c r="I442" s="142" t="s">
        <v>210</v>
      </c>
      <c r="J442" s="142" t="s">
        <v>210</v>
      </c>
      <c r="K442" s="142" t="s">
        <v>210</v>
      </c>
      <c r="L442" s="142">
        <v>2</v>
      </c>
      <c r="M442" s="142" t="str">
        <f t="shared" ca="1" si="54"/>
        <v>Aucune case cochée</v>
      </c>
      <c r="N442" s="142" t="str">
        <f t="shared" ca="1" si="58"/>
        <v>Aucune case cochée</v>
      </c>
      <c r="O442" s="47">
        <v>1</v>
      </c>
      <c r="P442" s="142">
        <f t="shared" si="57"/>
        <v>2</v>
      </c>
      <c r="Q442" s="142">
        <f t="shared" ca="1" si="55"/>
        <v>2</v>
      </c>
      <c r="R442" s="142">
        <f t="shared" ref="R442:R495" si="59">IF(O442="Non concerné",O442,IF(F442="Binaire",1,3)*L442)</f>
        <v>2</v>
      </c>
      <c r="S442" s="218"/>
      <c r="T442" s="218"/>
      <c r="U442" s="219"/>
      <c r="V442" s="220"/>
      <c r="W442" s="218"/>
      <c r="X442" s="220"/>
      <c r="Y442" s="217"/>
      <c r="Z442" s="17"/>
    </row>
    <row r="443" spans="1:26" ht="32.1" customHeight="1" x14ac:dyDescent="0.2">
      <c r="A443" s="44" t="s">
        <v>757</v>
      </c>
      <c r="B443" s="44" t="s">
        <v>764</v>
      </c>
      <c r="C443" s="44" t="s">
        <v>765</v>
      </c>
      <c r="D443" s="44" t="s">
        <v>564</v>
      </c>
      <c r="E443" s="45">
        <f t="shared" si="53"/>
        <v>32</v>
      </c>
      <c r="F443" s="142" t="s">
        <v>649</v>
      </c>
      <c r="G443" s="142" t="s">
        <v>651</v>
      </c>
      <c r="H443" s="142" t="s">
        <v>210</v>
      </c>
      <c r="I443" s="142" t="s">
        <v>210</v>
      </c>
      <c r="J443" s="142" t="s">
        <v>210</v>
      </c>
      <c r="K443" s="142" t="s">
        <v>210</v>
      </c>
      <c r="L443" s="142">
        <v>2</v>
      </c>
      <c r="M443" s="142" t="str">
        <f t="shared" ca="1" si="54"/>
        <v>Aucune case cochée</v>
      </c>
      <c r="N443" s="142" t="str">
        <f t="shared" ca="1" si="58"/>
        <v>Aucune case cochée</v>
      </c>
      <c r="O443" s="47">
        <v>1</v>
      </c>
      <c r="P443" s="142">
        <f t="shared" si="57"/>
        <v>2</v>
      </c>
      <c r="Q443" s="142">
        <f t="shared" ca="1" si="55"/>
        <v>2</v>
      </c>
      <c r="R443" s="142">
        <f t="shared" si="59"/>
        <v>2</v>
      </c>
      <c r="S443" s="218"/>
      <c r="T443" s="218"/>
      <c r="U443" s="219"/>
      <c r="V443" s="220"/>
      <c r="W443" s="218"/>
      <c r="X443" s="220"/>
      <c r="Y443" s="217"/>
      <c r="Z443" s="17"/>
    </row>
    <row r="444" spans="1:26" ht="32.1" customHeight="1" x14ac:dyDescent="0.2">
      <c r="A444" s="44" t="s">
        <v>757</v>
      </c>
      <c r="B444" s="44" t="s">
        <v>764</v>
      </c>
      <c r="C444" s="44" t="s">
        <v>765</v>
      </c>
      <c r="D444" s="44" t="s">
        <v>565</v>
      </c>
      <c r="E444" s="45">
        <f t="shared" si="53"/>
        <v>34</v>
      </c>
      <c r="F444" s="142" t="s">
        <v>649</v>
      </c>
      <c r="G444" s="142" t="s">
        <v>651</v>
      </c>
      <c r="H444" s="142" t="s">
        <v>210</v>
      </c>
      <c r="I444" s="142" t="s">
        <v>210</v>
      </c>
      <c r="J444" s="142" t="s">
        <v>210</v>
      </c>
      <c r="K444" s="142" t="s">
        <v>210</v>
      </c>
      <c r="L444" s="142">
        <v>2</v>
      </c>
      <c r="M444" s="142" t="str">
        <f t="shared" ca="1" si="54"/>
        <v>Aucune case cochée</v>
      </c>
      <c r="N444" s="142" t="str">
        <f t="shared" ca="1" si="58"/>
        <v>Aucune case cochée</v>
      </c>
      <c r="O444" s="47">
        <v>1</v>
      </c>
      <c r="P444" s="142">
        <f t="shared" si="57"/>
        <v>2</v>
      </c>
      <c r="Q444" s="142">
        <f t="shared" ca="1" si="55"/>
        <v>2</v>
      </c>
      <c r="R444" s="142">
        <f t="shared" si="59"/>
        <v>2</v>
      </c>
      <c r="S444" s="218"/>
      <c r="T444" s="218"/>
      <c r="U444" s="219"/>
      <c r="V444" s="220"/>
      <c r="W444" s="218"/>
      <c r="X444" s="220"/>
      <c r="Y444" s="217"/>
      <c r="Z444" s="17"/>
    </row>
    <row r="445" spans="1:26" ht="32.1" customHeight="1" x14ac:dyDescent="0.2">
      <c r="A445" s="44" t="s">
        <v>757</v>
      </c>
      <c r="B445" s="44" t="s">
        <v>764</v>
      </c>
      <c r="C445" s="44" t="s">
        <v>765</v>
      </c>
      <c r="D445" s="44" t="s">
        <v>566</v>
      </c>
      <c r="E445" s="45">
        <f t="shared" si="53"/>
        <v>36</v>
      </c>
      <c r="F445" s="142" t="s">
        <v>649</v>
      </c>
      <c r="G445" s="142" t="s">
        <v>650</v>
      </c>
      <c r="H445" s="142" t="s">
        <v>650</v>
      </c>
      <c r="I445" s="142" t="s">
        <v>651</v>
      </c>
      <c r="J445" s="142" t="s">
        <v>651</v>
      </c>
      <c r="K445" s="142" t="s">
        <v>210</v>
      </c>
      <c r="L445" s="142">
        <v>2</v>
      </c>
      <c r="M445" s="142" t="str">
        <f t="shared" ca="1" si="54"/>
        <v>Aucune case cochée</v>
      </c>
      <c r="N445" s="142" t="str">
        <f t="shared" ca="1" si="58"/>
        <v>Aucune case cochée</v>
      </c>
      <c r="O445" s="47">
        <v>1</v>
      </c>
      <c r="P445" s="142">
        <f t="shared" si="57"/>
        <v>2</v>
      </c>
      <c r="Q445" s="142">
        <f t="shared" ca="1" si="55"/>
        <v>2</v>
      </c>
      <c r="R445" s="142">
        <f t="shared" si="59"/>
        <v>2</v>
      </c>
      <c r="S445" s="218"/>
      <c r="T445" s="218"/>
      <c r="U445" s="219"/>
      <c r="V445" s="220"/>
      <c r="W445" s="218"/>
      <c r="X445" s="220"/>
      <c r="Y445" s="217"/>
      <c r="Z445" s="17"/>
    </row>
    <row r="446" spans="1:26" ht="32.1" customHeight="1" x14ac:dyDescent="0.2">
      <c r="A446" s="44" t="s">
        <v>757</v>
      </c>
      <c r="B446" s="44" t="s">
        <v>764</v>
      </c>
      <c r="C446" s="44" t="s">
        <v>765</v>
      </c>
      <c r="D446" s="44" t="s">
        <v>567</v>
      </c>
      <c r="E446" s="45">
        <f t="shared" si="53"/>
        <v>38</v>
      </c>
      <c r="F446" s="142" t="s">
        <v>649</v>
      </c>
      <c r="G446" s="142" t="s">
        <v>651</v>
      </c>
      <c r="H446" s="142" t="s">
        <v>651</v>
      </c>
      <c r="I446" s="142" t="s">
        <v>651</v>
      </c>
      <c r="J446" s="142" t="s">
        <v>651</v>
      </c>
      <c r="K446" s="142" t="s">
        <v>651</v>
      </c>
      <c r="L446" s="142">
        <v>1</v>
      </c>
      <c r="M446" s="142" t="str">
        <f t="shared" ca="1" si="54"/>
        <v>Aucune case cochée</v>
      </c>
      <c r="N446" s="142" t="str">
        <f t="shared" ca="1" si="58"/>
        <v>Aucune case cochée</v>
      </c>
      <c r="O446" s="47">
        <v>1</v>
      </c>
      <c r="P446" s="142">
        <f t="shared" si="57"/>
        <v>1</v>
      </c>
      <c r="Q446" s="142">
        <f t="shared" ca="1" si="55"/>
        <v>1</v>
      </c>
      <c r="R446" s="142">
        <f t="shared" si="59"/>
        <v>1</v>
      </c>
      <c r="S446" s="218"/>
      <c r="T446" s="218"/>
      <c r="U446" s="219"/>
      <c r="V446" s="220"/>
      <c r="W446" s="218"/>
      <c r="X446" s="220"/>
      <c r="Y446" s="217"/>
      <c r="Z446" s="17"/>
    </row>
    <row r="447" spans="1:26" ht="32.1" customHeight="1" x14ac:dyDescent="0.2">
      <c r="A447" s="44" t="s">
        <v>757</v>
      </c>
      <c r="B447" s="44" t="s">
        <v>764</v>
      </c>
      <c r="C447" s="44" t="s">
        <v>766</v>
      </c>
      <c r="D447" s="44" t="s">
        <v>569</v>
      </c>
      <c r="E447" s="45">
        <f t="shared" si="53"/>
        <v>41</v>
      </c>
      <c r="F447" s="142" t="s">
        <v>649</v>
      </c>
      <c r="G447" s="142" t="s">
        <v>651</v>
      </c>
      <c r="H447" s="142" t="s">
        <v>651</v>
      </c>
      <c r="I447" s="142" t="s">
        <v>650</v>
      </c>
      <c r="J447" s="142" t="s">
        <v>650</v>
      </c>
      <c r="K447" s="142" t="s">
        <v>650</v>
      </c>
      <c r="L447" s="142">
        <v>2</v>
      </c>
      <c r="M447" s="142" t="str">
        <f t="shared" ca="1" si="54"/>
        <v>Aucune case cochée</v>
      </c>
      <c r="N447" s="142" t="str">
        <f t="shared" ca="1" si="58"/>
        <v>Aucune case cochée</v>
      </c>
      <c r="O447" s="47">
        <v>1</v>
      </c>
      <c r="P447" s="142">
        <f t="shared" si="57"/>
        <v>2</v>
      </c>
      <c r="Q447" s="142">
        <f t="shared" ca="1" si="55"/>
        <v>2</v>
      </c>
      <c r="R447" s="142">
        <f t="shared" si="59"/>
        <v>2</v>
      </c>
      <c r="S447" s="218">
        <f>SUM(P447:P454)</f>
        <v>11</v>
      </c>
      <c r="T447" s="218">
        <f>SUM(R447:R454)</f>
        <v>17</v>
      </c>
      <c r="U447" s="219">
        <f>+S447/T447</f>
        <v>0.6470588235294118</v>
      </c>
      <c r="V447" s="220">
        <v>0.2</v>
      </c>
      <c r="W447" s="218"/>
      <c r="X447" s="220"/>
      <c r="Y447" s="217"/>
      <c r="Z447" s="17"/>
    </row>
    <row r="448" spans="1:26" ht="32.1" customHeight="1" x14ac:dyDescent="0.2">
      <c r="A448" s="44" t="s">
        <v>757</v>
      </c>
      <c r="B448" s="44" t="s">
        <v>764</v>
      </c>
      <c r="C448" s="44" t="s">
        <v>766</v>
      </c>
      <c r="D448" s="44" t="s">
        <v>570</v>
      </c>
      <c r="E448" s="45">
        <f t="shared" si="53"/>
        <v>43</v>
      </c>
      <c r="F448" s="142" t="s">
        <v>649</v>
      </c>
      <c r="G448" s="142" t="s">
        <v>651</v>
      </c>
      <c r="H448" s="142" t="s">
        <v>651</v>
      </c>
      <c r="I448" s="142" t="s">
        <v>650</v>
      </c>
      <c r="J448" s="142" t="s">
        <v>651</v>
      </c>
      <c r="K448" s="142" t="s">
        <v>651</v>
      </c>
      <c r="L448" s="142">
        <v>1</v>
      </c>
      <c r="M448" s="142" t="str">
        <f t="shared" ca="1" si="54"/>
        <v>Aucune case cochée</v>
      </c>
      <c r="N448" s="142" t="str">
        <f t="shared" ca="1" si="58"/>
        <v>Aucune case cochée</v>
      </c>
      <c r="O448" s="47">
        <v>1</v>
      </c>
      <c r="P448" s="142">
        <f t="shared" si="57"/>
        <v>1</v>
      </c>
      <c r="Q448" s="142">
        <f t="shared" ca="1" si="55"/>
        <v>1</v>
      </c>
      <c r="R448" s="142">
        <f t="shared" si="59"/>
        <v>1</v>
      </c>
      <c r="S448" s="218"/>
      <c r="T448" s="218"/>
      <c r="U448" s="219"/>
      <c r="V448" s="220"/>
      <c r="W448" s="218"/>
      <c r="X448" s="220"/>
      <c r="Y448" s="217"/>
      <c r="Z448" s="17"/>
    </row>
    <row r="449" spans="1:26" ht="32.1" customHeight="1" x14ac:dyDescent="0.2">
      <c r="A449" s="44" t="s">
        <v>757</v>
      </c>
      <c r="B449" s="44" t="s">
        <v>764</v>
      </c>
      <c r="C449" s="44" t="s">
        <v>766</v>
      </c>
      <c r="D449" s="44" t="s">
        <v>177</v>
      </c>
      <c r="E449" s="45">
        <f t="shared" si="53"/>
        <v>45</v>
      </c>
      <c r="F449" s="142" t="s">
        <v>649</v>
      </c>
      <c r="G449" s="142" t="s">
        <v>650</v>
      </c>
      <c r="H449" s="142" t="s">
        <v>650</v>
      </c>
      <c r="I449" s="142" t="s">
        <v>650</v>
      </c>
      <c r="J449" s="142" t="s">
        <v>650</v>
      </c>
      <c r="K449" s="142" t="s">
        <v>650</v>
      </c>
      <c r="L449" s="142">
        <v>2</v>
      </c>
      <c r="M449" s="142" t="str">
        <f t="shared" ca="1" si="54"/>
        <v>Aucune case cochée</v>
      </c>
      <c r="N449" s="142" t="str">
        <f t="shared" ca="1" si="58"/>
        <v>Aucune case cochée</v>
      </c>
      <c r="O449" s="47">
        <v>1</v>
      </c>
      <c r="P449" s="142">
        <f t="shared" si="57"/>
        <v>2</v>
      </c>
      <c r="Q449" s="142">
        <f t="shared" ca="1" si="55"/>
        <v>2</v>
      </c>
      <c r="R449" s="142">
        <f t="shared" si="59"/>
        <v>2</v>
      </c>
      <c r="S449" s="218"/>
      <c r="T449" s="218"/>
      <c r="U449" s="219"/>
      <c r="V449" s="220"/>
      <c r="W449" s="218"/>
      <c r="X449" s="220"/>
      <c r="Y449" s="217"/>
      <c r="Z449" s="17"/>
    </row>
    <row r="450" spans="1:26" ht="32.1" customHeight="1" x14ac:dyDescent="0.2">
      <c r="A450" s="44" t="s">
        <v>757</v>
      </c>
      <c r="B450" s="44" t="s">
        <v>764</v>
      </c>
      <c r="C450" s="44" t="s">
        <v>766</v>
      </c>
      <c r="D450" s="44" t="s">
        <v>571</v>
      </c>
      <c r="E450" s="45">
        <f t="shared" ref="E450:E495" si="60">IF(B450&lt;&gt;B449,10,IF(C450&lt;&gt;C449,E449+3,E449+2))</f>
        <v>47</v>
      </c>
      <c r="F450" s="142" t="s">
        <v>649</v>
      </c>
      <c r="G450" s="142" t="s">
        <v>650</v>
      </c>
      <c r="H450" s="142" t="s">
        <v>650</v>
      </c>
      <c r="I450" s="142" t="s">
        <v>651</v>
      </c>
      <c r="J450" s="142" t="s">
        <v>210</v>
      </c>
      <c r="K450" s="142" t="s">
        <v>210</v>
      </c>
      <c r="L450" s="142">
        <v>2</v>
      </c>
      <c r="M450" s="142" t="str">
        <f t="shared" ca="1" si="54"/>
        <v>Aucune case cochée</v>
      </c>
      <c r="N450" s="142" t="str">
        <f t="shared" ca="1" si="58"/>
        <v>Aucune case cochée</v>
      </c>
      <c r="O450" s="47">
        <v>1</v>
      </c>
      <c r="P450" s="142">
        <f t="shared" si="57"/>
        <v>2</v>
      </c>
      <c r="Q450" s="142">
        <f t="shared" ca="1" si="55"/>
        <v>2</v>
      </c>
      <c r="R450" s="142">
        <f t="shared" si="59"/>
        <v>2</v>
      </c>
      <c r="S450" s="218"/>
      <c r="T450" s="218"/>
      <c r="U450" s="219"/>
      <c r="V450" s="220"/>
      <c r="W450" s="218"/>
      <c r="X450" s="220"/>
      <c r="Y450" s="217"/>
      <c r="Z450" s="17"/>
    </row>
    <row r="451" spans="1:26" ht="32.1" customHeight="1" x14ac:dyDescent="0.2">
      <c r="A451" s="44" t="s">
        <v>757</v>
      </c>
      <c r="B451" s="44" t="s">
        <v>764</v>
      </c>
      <c r="C451" s="44" t="s">
        <v>766</v>
      </c>
      <c r="D451" s="44" t="s">
        <v>572</v>
      </c>
      <c r="E451" s="45">
        <f t="shared" si="60"/>
        <v>49</v>
      </c>
      <c r="F451" s="142" t="s">
        <v>649</v>
      </c>
      <c r="G451" s="142" t="s">
        <v>651</v>
      </c>
      <c r="H451" s="142" t="s">
        <v>651</v>
      </c>
      <c r="I451" s="142" t="s">
        <v>210</v>
      </c>
      <c r="J451" s="142" t="s">
        <v>210</v>
      </c>
      <c r="K451" s="142" t="s">
        <v>210</v>
      </c>
      <c r="L451" s="142">
        <v>2</v>
      </c>
      <c r="M451" s="142" t="str">
        <f t="shared" ca="1" si="54"/>
        <v>Aucune case cochée</v>
      </c>
      <c r="N451" s="142" t="str">
        <f t="shared" ca="1" si="58"/>
        <v>Aucune case cochée</v>
      </c>
      <c r="O451" s="47">
        <v>1</v>
      </c>
      <c r="P451" s="142">
        <f t="shared" si="57"/>
        <v>2</v>
      </c>
      <c r="Q451" s="142">
        <f t="shared" ca="1" si="55"/>
        <v>2</v>
      </c>
      <c r="R451" s="142">
        <f t="shared" si="59"/>
        <v>2</v>
      </c>
      <c r="S451" s="218"/>
      <c r="T451" s="218"/>
      <c r="U451" s="219"/>
      <c r="V451" s="220"/>
      <c r="W451" s="218"/>
      <c r="X451" s="220"/>
      <c r="Y451" s="217"/>
      <c r="Z451" s="17"/>
    </row>
    <row r="452" spans="1:26" ht="32.1" customHeight="1" x14ac:dyDescent="0.2">
      <c r="A452" s="44" t="s">
        <v>757</v>
      </c>
      <c r="B452" s="44" t="s">
        <v>764</v>
      </c>
      <c r="C452" s="44" t="s">
        <v>766</v>
      </c>
      <c r="D452" s="44" t="s">
        <v>573</v>
      </c>
      <c r="E452" s="45">
        <f t="shared" si="60"/>
        <v>51</v>
      </c>
      <c r="F452" s="142" t="s">
        <v>649</v>
      </c>
      <c r="G452" s="142" t="s">
        <v>650</v>
      </c>
      <c r="H452" s="142" t="s">
        <v>650</v>
      </c>
      <c r="I452" s="142" t="s">
        <v>651</v>
      </c>
      <c r="J452" s="142" t="s">
        <v>210</v>
      </c>
      <c r="K452" s="142"/>
      <c r="L452" s="142">
        <v>2</v>
      </c>
      <c r="M452" s="142" t="str">
        <f t="shared" ca="1" si="54"/>
        <v>Aucune case cochée</v>
      </c>
      <c r="N452" s="142" t="str">
        <f t="shared" ca="1" si="58"/>
        <v>Aucune case cochée</v>
      </c>
      <c r="O452" s="47">
        <v>1</v>
      </c>
      <c r="P452" s="142">
        <f t="shared" si="57"/>
        <v>2</v>
      </c>
      <c r="Q452" s="142">
        <f t="shared" ca="1" si="55"/>
        <v>2</v>
      </c>
      <c r="R452" s="142">
        <f t="shared" si="59"/>
        <v>2</v>
      </c>
      <c r="S452" s="218"/>
      <c r="T452" s="218"/>
      <c r="U452" s="219"/>
      <c r="V452" s="220"/>
      <c r="W452" s="218"/>
      <c r="X452" s="220"/>
      <c r="Y452" s="217"/>
      <c r="Z452" s="17"/>
    </row>
    <row r="453" spans="1:26" ht="32.1" customHeight="1" x14ac:dyDescent="0.2">
      <c r="A453" s="44" t="s">
        <v>757</v>
      </c>
      <c r="B453" s="44" t="s">
        <v>764</v>
      </c>
      <c r="C453" s="44" t="s">
        <v>766</v>
      </c>
      <c r="D453" s="44" t="s">
        <v>574</v>
      </c>
      <c r="E453" s="45">
        <f t="shared" si="60"/>
        <v>53</v>
      </c>
      <c r="F453" s="142" t="s">
        <v>656</v>
      </c>
      <c r="G453" s="142" t="s">
        <v>650</v>
      </c>
      <c r="H453" s="142" t="s">
        <v>650</v>
      </c>
      <c r="I453" s="142" t="s">
        <v>650</v>
      </c>
      <c r="J453" s="142" t="s">
        <v>650</v>
      </c>
      <c r="K453" s="142" t="s">
        <v>650</v>
      </c>
      <c r="L453" s="142">
        <v>1</v>
      </c>
      <c r="M453" s="142" t="str">
        <f t="shared" ref="M453:M495" ca="1" si="61">IFERROR(INDEX(INDIRECT(B453 &amp; "!G" &amp; E453 &amp; ":M" &amp; E453), 1, MATCH(TRUE, INDIRECT(B453 &amp; "!G" &amp; (E453+1) &amp; ":M" &amp; (E453+1)), 0)), "Aucune case cochée")</f>
        <v>Aucune case cochée</v>
      </c>
      <c r="N453" s="142" t="str">
        <f t="shared" ca="1" si="58"/>
        <v>Aucune case cochée</v>
      </c>
      <c r="O453" s="47">
        <v>0</v>
      </c>
      <c r="P453" s="142">
        <f t="shared" si="57"/>
        <v>0</v>
      </c>
      <c r="Q453" s="142">
        <f t="shared" ref="Q453:Q495" ca="1" si="62">IF(N453="Non concerné",N453,R453)</f>
        <v>3</v>
      </c>
      <c r="R453" s="142">
        <f t="shared" si="59"/>
        <v>3</v>
      </c>
      <c r="S453" s="218"/>
      <c r="T453" s="218"/>
      <c r="U453" s="219"/>
      <c r="V453" s="220"/>
      <c r="W453" s="218"/>
      <c r="X453" s="220"/>
      <c r="Y453" s="217"/>
      <c r="Z453" s="17"/>
    </row>
    <row r="454" spans="1:26" ht="32.1" customHeight="1" x14ac:dyDescent="0.2">
      <c r="A454" s="44" t="s">
        <v>757</v>
      </c>
      <c r="B454" s="44" t="s">
        <v>764</v>
      </c>
      <c r="C454" s="44" t="s">
        <v>766</v>
      </c>
      <c r="D454" s="44" t="s">
        <v>575</v>
      </c>
      <c r="E454" s="45">
        <f t="shared" si="60"/>
        <v>55</v>
      </c>
      <c r="F454" s="142" t="s">
        <v>656</v>
      </c>
      <c r="G454" s="142" t="s">
        <v>650</v>
      </c>
      <c r="H454" s="142" t="s">
        <v>650</v>
      </c>
      <c r="I454" s="142" t="s">
        <v>650</v>
      </c>
      <c r="J454" s="142" t="s">
        <v>650</v>
      </c>
      <c r="K454" s="142" t="s">
        <v>650</v>
      </c>
      <c r="L454" s="142">
        <v>1</v>
      </c>
      <c r="M454" s="142" t="str">
        <f t="shared" ca="1" si="61"/>
        <v>Aucune case cochée</v>
      </c>
      <c r="N454" s="142" t="str">
        <f t="shared" ca="1" si="58"/>
        <v>Aucune case cochée</v>
      </c>
      <c r="O454" s="47">
        <v>0</v>
      </c>
      <c r="P454" s="142">
        <f t="shared" si="57"/>
        <v>0</v>
      </c>
      <c r="Q454" s="142">
        <f t="shared" ca="1" si="62"/>
        <v>3</v>
      </c>
      <c r="R454" s="142">
        <f t="shared" si="59"/>
        <v>3</v>
      </c>
      <c r="S454" s="218"/>
      <c r="T454" s="218"/>
      <c r="U454" s="219"/>
      <c r="V454" s="220"/>
      <c r="W454" s="218"/>
      <c r="X454" s="220"/>
      <c r="Y454" s="217"/>
      <c r="Z454" s="17"/>
    </row>
    <row r="455" spans="1:26" ht="32.1" customHeight="1" x14ac:dyDescent="0.2">
      <c r="A455" s="44" t="s">
        <v>767</v>
      </c>
      <c r="B455" s="44" t="s">
        <v>767</v>
      </c>
      <c r="C455" s="44" t="s">
        <v>768</v>
      </c>
      <c r="D455" s="44" t="s">
        <v>578</v>
      </c>
      <c r="E455" s="45">
        <f t="shared" si="60"/>
        <v>10</v>
      </c>
      <c r="F455" s="142" t="s">
        <v>649</v>
      </c>
      <c r="G455" s="142" t="s">
        <v>650</v>
      </c>
      <c r="H455" s="142" t="s">
        <v>650</v>
      </c>
      <c r="I455" s="142" t="s">
        <v>650</v>
      </c>
      <c r="J455" s="142" t="s">
        <v>650</v>
      </c>
      <c r="K455" s="142" t="s">
        <v>650</v>
      </c>
      <c r="L455" s="142">
        <v>2</v>
      </c>
      <c r="M455" s="142" t="str">
        <f t="shared" ca="1" si="61"/>
        <v>Aucune case cochée</v>
      </c>
      <c r="N455" s="142" t="str">
        <f t="shared" ca="1" si="58"/>
        <v>Aucune case cochée</v>
      </c>
      <c r="O455" s="47">
        <v>1</v>
      </c>
      <c r="P455" s="142">
        <f t="shared" si="57"/>
        <v>2</v>
      </c>
      <c r="Q455" s="142">
        <f t="shared" ca="1" si="62"/>
        <v>2</v>
      </c>
      <c r="R455" s="142">
        <f t="shared" si="59"/>
        <v>2</v>
      </c>
      <c r="S455" s="218">
        <f>SUM(P455:P476)</f>
        <v>26</v>
      </c>
      <c r="T455" s="218">
        <f>SUM(R455:R476)</f>
        <v>50</v>
      </c>
      <c r="U455" s="219">
        <f>+S455/T455</f>
        <v>0.52</v>
      </c>
      <c r="V455" s="220">
        <v>0.6</v>
      </c>
      <c r="W455" s="222">
        <f>U455*V455+U477*V477+U485*V485</f>
        <v>0.53200000000000003</v>
      </c>
      <c r="X455" s="220">
        <v>2.5000000000000001E-2</v>
      </c>
      <c r="Y455" s="217"/>
      <c r="Z455" s="17"/>
    </row>
    <row r="456" spans="1:26" ht="32.1" customHeight="1" x14ac:dyDescent="0.2">
      <c r="A456" s="44" t="s">
        <v>767</v>
      </c>
      <c r="B456" s="44" t="s">
        <v>767</v>
      </c>
      <c r="C456" s="44" t="s">
        <v>768</v>
      </c>
      <c r="D456" s="44" t="s">
        <v>393</v>
      </c>
      <c r="E456" s="45">
        <f t="shared" si="60"/>
        <v>12</v>
      </c>
      <c r="F456" s="142" t="s">
        <v>656</v>
      </c>
      <c r="G456" s="142" t="s">
        <v>650</v>
      </c>
      <c r="H456" s="142" t="s">
        <v>650</v>
      </c>
      <c r="I456" s="142" t="s">
        <v>650</v>
      </c>
      <c r="J456" s="142" t="s">
        <v>650</v>
      </c>
      <c r="K456" s="142" t="s">
        <v>650</v>
      </c>
      <c r="L456" s="142">
        <v>1</v>
      </c>
      <c r="M456" s="142" t="str">
        <f t="shared" ca="1" si="61"/>
        <v>Aucune case cochée</v>
      </c>
      <c r="N456" s="142" t="str">
        <f t="shared" ca="1" si="58"/>
        <v>Aucune case cochée</v>
      </c>
      <c r="O456" s="47">
        <v>0</v>
      </c>
      <c r="P456" s="142">
        <f t="shared" si="57"/>
        <v>0</v>
      </c>
      <c r="Q456" s="142">
        <f t="shared" ca="1" si="62"/>
        <v>3</v>
      </c>
      <c r="R456" s="142">
        <f t="shared" si="59"/>
        <v>3</v>
      </c>
      <c r="S456" s="218"/>
      <c r="T456" s="218"/>
      <c r="U456" s="219"/>
      <c r="V456" s="220"/>
      <c r="W456" s="218"/>
      <c r="X456" s="220"/>
      <c r="Y456" s="217"/>
      <c r="Z456" s="17"/>
    </row>
    <row r="457" spans="1:26" ht="32.1" customHeight="1" x14ac:dyDescent="0.2">
      <c r="A457" s="44" t="s">
        <v>767</v>
      </c>
      <c r="B457" s="44" t="s">
        <v>767</v>
      </c>
      <c r="C457" s="44" t="s">
        <v>768</v>
      </c>
      <c r="D457" s="44" t="s">
        <v>394</v>
      </c>
      <c r="E457" s="45">
        <f t="shared" si="60"/>
        <v>14</v>
      </c>
      <c r="F457" s="142" t="s">
        <v>656</v>
      </c>
      <c r="G457" s="142" t="s">
        <v>650</v>
      </c>
      <c r="H457" s="142" t="s">
        <v>650</v>
      </c>
      <c r="I457" s="142" t="s">
        <v>650</v>
      </c>
      <c r="J457" s="142" t="s">
        <v>650</v>
      </c>
      <c r="K457" s="142" t="s">
        <v>650</v>
      </c>
      <c r="L457" s="142">
        <v>1</v>
      </c>
      <c r="M457" s="142" t="str">
        <f t="shared" ca="1" si="61"/>
        <v>Aucune case cochée</v>
      </c>
      <c r="N457" s="142" t="str">
        <f t="shared" ca="1" si="58"/>
        <v>Aucune case cochée</v>
      </c>
      <c r="O457" s="47">
        <v>0</v>
      </c>
      <c r="P457" s="142">
        <f t="shared" si="57"/>
        <v>0</v>
      </c>
      <c r="Q457" s="142">
        <f t="shared" ca="1" si="62"/>
        <v>3</v>
      </c>
      <c r="R457" s="142">
        <f t="shared" si="59"/>
        <v>3</v>
      </c>
      <c r="S457" s="218"/>
      <c r="T457" s="218"/>
      <c r="U457" s="219"/>
      <c r="V457" s="220"/>
      <c r="W457" s="218"/>
      <c r="X457" s="220"/>
      <c r="Y457" s="217"/>
      <c r="Z457" s="17"/>
    </row>
    <row r="458" spans="1:26" ht="32.1" customHeight="1" x14ac:dyDescent="0.2">
      <c r="A458" s="44" t="s">
        <v>767</v>
      </c>
      <c r="B458" s="44" t="s">
        <v>767</v>
      </c>
      <c r="C458" s="44" t="s">
        <v>768</v>
      </c>
      <c r="D458" s="44" t="s">
        <v>579</v>
      </c>
      <c r="E458" s="45">
        <f t="shared" si="60"/>
        <v>16</v>
      </c>
      <c r="F458" s="142" t="s">
        <v>649</v>
      </c>
      <c r="G458" s="142" t="s">
        <v>650</v>
      </c>
      <c r="H458" s="142" t="s">
        <v>650</v>
      </c>
      <c r="I458" s="142" t="s">
        <v>650</v>
      </c>
      <c r="J458" s="142" t="s">
        <v>650</v>
      </c>
      <c r="K458" s="142" t="s">
        <v>650</v>
      </c>
      <c r="L458" s="142">
        <v>2</v>
      </c>
      <c r="M458" s="142" t="str">
        <f t="shared" ca="1" si="61"/>
        <v>Aucune case cochée</v>
      </c>
      <c r="N458" s="142" t="str">
        <f t="shared" ca="1" si="58"/>
        <v>Aucune case cochée</v>
      </c>
      <c r="O458" s="47">
        <v>1</v>
      </c>
      <c r="P458" s="142">
        <f t="shared" si="57"/>
        <v>2</v>
      </c>
      <c r="Q458" s="142">
        <f t="shared" ca="1" si="62"/>
        <v>2</v>
      </c>
      <c r="R458" s="142">
        <f t="shared" si="59"/>
        <v>2</v>
      </c>
      <c r="S458" s="218"/>
      <c r="T458" s="218"/>
      <c r="U458" s="219"/>
      <c r="V458" s="220"/>
      <c r="W458" s="218"/>
      <c r="X458" s="220"/>
      <c r="Y458" s="217"/>
      <c r="Z458" s="17"/>
    </row>
    <row r="459" spans="1:26" ht="32.1" customHeight="1" x14ac:dyDescent="0.2">
      <c r="A459" s="44" t="s">
        <v>767</v>
      </c>
      <c r="B459" s="44" t="s">
        <v>767</v>
      </c>
      <c r="C459" s="44" t="s">
        <v>768</v>
      </c>
      <c r="D459" s="44" t="s">
        <v>580</v>
      </c>
      <c r="E459" s="45">
        <f t="shared" si="60"/>
        <v>18</v>
      </c>
      <c r="F459" s="142" t="s">
        <v>649</v>
      </c>
      <c r="G459" s="142" t="s">
        <v>650</v>
      </c>
      <c r="H459" s="142" t="s">
        <v>650</v>
      </c>
      <c r="I459" s="142" t="s">
        <v>650</v>
      </c>
      <c r="J459" s="142" t="s">
        <v>650</v>
      </c>
      <c r="K459" s="142" t="s">
        <v>650</v>
      </c>
      <c r="L459" s="142">
        <v>2</v>
      </c>
      <c r="M459" s="142" t="str">
        <f t="shared" ca="1" si="61"/>
        <v>Aucune case cochée</v>
      </c>
      <c r="N459" s="142" t="str">
        <f t="shared" ca="1" si="58"/>
        <v>Aucune case cochée</v>
      </c>
      <c r="O459" s="47">
        <v>1</v>
      </c>
      <c r="P459" s="142">
        <f t="shared" si="57"/>
        <v>2</v>
      </c>
      <c r="Q459" s="142">
        <f t="shared" ca="1" si="62"/>
        <v>2</v>
      </c>
      <c r="R459" s="142">
        <f t="shared" si="59"/>
        <v>2</v>
      </c>
      <c r="S459" s="218"/>
      <c r="T459" s="218"/>
      <c r="U459" s="219"/>
      <c r="V459" s="220"/>
      <c r="W459" s="218"/>
      <c r="X459" s="220"/>
      <c r="Y459" s="217"/>
      <c r="Z459" s="17"/>
    </row>
    <row r="460" spans="1:26" ht="32.1" customHeight="1" x14ac:dyDescent="0.2">
      <c r="A460" s="44" t="s">
        <v>767</v>
      </c>
      <c r="B460" s="44" t="s">
        <v>767</v>
      </c>
      <c r="C460" s="44" t="s">
        <v>768</v>
      </c>
      <c r="D460" s="44" t="s">
        <v>581</v>
      </c>
      <c r="E460" s="45">
        <f t="shared" si="60"/>
        <v>20</v>
      </c>
      <c r="F460" s="142" t="s">
        <v>649</v>
      </c>
      <c r="G460" s="142" t="s">
        <v>651</v>
      </c>
      <c r="H460" s="142" t="s">
        <v>651</v>
      </c>
      <c r="I460" s="142" t="s">
        <v>651</v>
      </c>
      <c r="J460" s="142" t="s">
        <v>651</v>
      </c>
      <c r="K460" s="142" t="s">
        <v>651</v>
      </c>
      <c r="L460" s="142">
        <v>2</v>
      </c>
      <c r="M460" s="142" t="str">
        <f t="shared" ca="1" si="61"/>
        <v>Aucune case cochée</v>
      </c>
      <c r="N460" s="142" t="str">
        <f t="shared" ca="1" si="58"/>
        <v>Aucune case cochée</v>
      </c>
      <c r="O460" s="47">
        <v>1</v>
      </c>
      <c r="P460" s="142">
        <f t="shared" si="57"/>
        <v>2</v>
      </c>
      <c r="Q460" s="142">
        <f t="shared" ca="1" si="62"/>
        <v>2</v>
      </c>
      <c r="R460" s="142">
        <f t="shared" si="59"/>
        <v>2</v>
      </c>
      <c r="S460" s="218"/>
      <c r="T460" s="218"/>
      <c r="U460" s="219"/>
      <c r="V460" s="220"/>
      <c r="W460" s="218"/>
      <c r="X460" s="220"/>
      <c r="Y460" s="217"/>
      <c r="Z460" s="17"/>
    </row>
    <row r="461" spans="1:26" ht="32.1" customHeight="1" x14ac:dyDescent="0.2">
      <c r="A461" s="44" t="s">
        <v>767</v>
      </c>
      <c r="B461" s="44" t="s">
        <v>767</v>
      </c>
      <c r="C461" s="44" t="s">
        <v>768</v>
      </c>
      <c r="D461" s="44" t="s">
        <v>582</v>
      </c>
      <c r="E461" s="45">
        <f t="shared" si="60"/>
        <v>22</v>
      </c>
      <c r="F461" s="142" t="s">
        <v>656</v>
      </c>
      <c r="G461" s="142" t="s">
        <v>650</v>
      </c>
      <c r="H461" s="142" t="s">
        <v>650</v>
      </c>
      <c r="I461" s="142" t="s">
        <v>650</v>
      </c>
      <c r="J461" s="142" t="s">
        <v>650</v>
      </c>
      <c r="K461" s="142" t="s">
        <v>650</v>
      </c>
      <c r="L461" s="142">
        <v>1</v>
      </c>
      <c r="M461" s="142" t="str">
        <f t="shared" ca="1" si="61"/>
        <v>Aucune case cochée</v>
      </c>
      <c r="N461" s="142" t="str">
        <f t="shared" ca="1" si="58"/>
        <v>Aucune case cochée</v>
      </c>
      <c r="O461" s="47">
        <v>0</v>
      </c>
      <c r="P461" s="142">
        <f t="shared" si="57"/>
        <v>0</v>
      </c>
      <c r="Q461" s="142">
        <f t="shared" ca="1" si="62"/>
        <v>3</v>
      </c>
      <c r="R461" s="142">
        <f t="shared" si="59"/>
        <v>3</v>
      </c>
      <c r="S461" s="218"/>
      <c r="T461" s="218"/>
      <c r="U461" s="219"/>
      <c r="V461" s="220"/>
      <c r="W461" s="218"/>
      <c r="X461" s="220"/>
      <c r="Y461" s="217"/>
      <c r="Z461" s="17"/>
    </row>
    <row r="462" spans="1:26" ht="32.1" customHeight="1" x14ac:dyDescent="0.2">
      <c r="A462" s="44" t="s">
        <v>767</v>
      </c>
      <c r="B462" s="44" t="s">
        <v>767</v>
      </c>
      <c r="C462" s="44" t="s">
        <v>768</v>
      </c>
      <c r="D462" s="44" t="s">
        <v>583</v>
      </c>
      <c r="E462" s="45">
        <f t="shared" si="60"/>
        <v>24</v>
      </c>
      <c r="F462" s="142" t="s">
        <v>656</v>
      </c>
      <c r="G462" s="142" t="s">
        <v>650</v>
      </c>
      <c r="H462" s="142" t="s">
        <v>650</v>
      </c>
      <c r="I462" s="142" t="s">
        <v>650</v>
      </c>
      <c r="J462" s="142" t="s">
        <v>650</v>
      </c>
      <c r="K462" s="142" t="s">
        <v>650</v>
      </c>
      <c r="L462" s="142">
        <v>1</v>
      </c>
      <c r="M462" s="142" t="str">
        <f t="shared" ca="1" si="61"/>
        <v>Aucune case cochée</v>
      </c>
      <c r="N462" s="142" t="str">
        <f t="shared" ca="1" si="58"/>
        <v>Aucune case cochée</v>
      </c>
      <c r="O462" s="47">
        <v>0</v>
      </c>
      <c r="P462" s="142">
        <f t="shared" si="57"/>
        <v>0</v>
      </c>
      <c r="Q462" s="142">
        <f t="shared" ca="1" si="62"/>
        <v>3</v>
      </c>
      <c r="R462" s="142">
        <f t="shared" si="59"/>
        <v>3</v>
      </c>
      <c r="S462" s="218"/>
      <c r="T462" s="218"/>
      <c r="U462" s="219"/>
      <c r="V462" s="220"/>
      <c r="W462" s="218"/>
      <c r="X462" s="220"/>
      <c r="Y462" s="217"/>
      <c r="Z462" s="17"/>
    </row>
    <row r="463" spans="1:26" ht="32.1" customHeight="1" x14ac:dyDescent="0.2">
      <c r="A463" s="44" t="s">
        <v>767</v>
      </c>
      <c r="B463" s="44" t="s">
        <v>767</v>
      </c>
      <c r="C463" s="44" t="s">
        <v>768</v>
      </c>
      <c r="D463" s="44" t="s">
        <v>182</v>
      </c>
      <c r="E463" s="45">
        <f t="shared" si="60"/>
        <v>26</v>
      </c>
      <c r="F463" s="142" t="s">
        <v>649</v>
      </c>
      <c r="G463" s="142" t="s">
        <v>650</v>
      </c>
      <c r="H463" s="142" t="s">
        <v>650</v>
      </c>
      <c r="I463" s="142" t="s">
        <v>650</v>
      </c>
      <c r="J463" s="142" t="s">
        <v>650</v>
      </c>
      <c r="K463" s="142" t="s">
        <v>650</v>
      </c>
      <c r="L463" s="142">
        <v>2</v>
      </c>
      <c r="M463" s="142" t="str">
        <f t="shared" ca="1" si="61"/>
        <v>Aucune case cochée</v>
      </c>
      <c r="N463" s="142" t="str">
        <f t="shared" ca="1" si="58"/>
        <v>Aucune case cochée</v>
      </c>
      <c r="O463" s="47">
        <v>1</v>
      </c>
      <c r="P463" s="142">
        <f t="shared" si="57"/>
        <v>2</v>
      </c>
      <c r="Q463" s="142">
        <f t="shared" ca="1" si="62"/>
        <v>2</v>
      </c>
      <c r="R463" s="142">
        <f t="shared" si="59"/>
        <v>2</v>
      </c>
      <c r="S463" s="218"/>
      <c r="T463" s="218"/>
      <c r="U463" s="219"/>
      <c r="V463" s="220"/>
      <c r="W463" s="218"/>
      <c r="X463" s="220"/>
      <c r="Y463" s="217"/>
      <c r="Z463" s="17"/>
    </row>
    <row r="464" spans="1:26" ht="32.1" customHeight="1" x14ac:dyDescent="0.2">
      <c r="A464" s="44" t="s">
        <v>767</v>
      </c>
      <c r="B464" s="44" t="s">
        <v>767</v>
      </c>
      <c r="C464" s="44" t="s">
        <v>768</v>
      </c>
      <c r="D464" s="44" t="s">
        <v>584</v>
      </c>
      <c r="E464" s="45">
        <f t="shared" si="60"/>
        <v>28</v>
      </c>
      <c r="F464" s="142" t="s">
        <v>649</v>
      </c>
      <c r="G464" s="142" t="s">
        <v>650</v>
      </c>
      <c r="H464" s="142" t="s">
        <v>650</v>
      </c>
      <c r="I464" s="142" t="s">
        <v>650</v>
      </c>
      <c r="J464" s="142" t="s">
        <v>650</v>
      </c>
      <c r="K464" s="142" t="s">
        <v>650</v>
      </c>
      <c r="L464" s="142">
        <v>2</v>
      </c>
      <c r="M464" s="142" t="str">
        <f t="shared" ca="1" si="61"/>
        <v>Aucune case cochée</v>
      </c>
      <c r="N464" s="142" t="str">
        <f t="shared" ca="1" si="58"/>
        <v>Aucune case cochée</v>
      </c>
      <c r="O464" s="47">
        <v>1</v>
      </c>
      <c r="P464" s="142">
        <f t="shared" si="57"/>
        <v>2</v>
      </c>
      <c r="Q464" s="142">
        <f t="shared" ca="1" si="62"/>
        <v>2</v>
      </c>
      <c r="R464" s="142">
        <f t="shared" si="59"/>
        <v>2</v>
      </c>
      <c r="S464" s="218"/>
      <c r="T464" s="218"/>
      <c r="U464" s="219"/>
      <c r="V464" s="220"/>
      <c r="W464" s="218"/>
      <c r="X464" s="220"/>
      <c r="Y464" s="217"/>
      <c r="Z464" s="17"/>
    </row>
    <row r="465" spans="1:26" ht="32.1" customHeight="1" x14ac:dyDescent="0.2">
      <c r="A465" s="44" t="s">
        <v>767</v>
      </c>
      <c r="B465" s="44" t="s">
        <v>767</v>
      </c>
      <c r="C465" s="44" t="s">
        <v>768</v>
      </c>
      <c r="D465" s="44" t="s">
        <v>585</v>
      </c>
      <c r="E465" s="45">
        <f t="shared" si="60"/>
        <v>30</v>
      </c>
      <c r="F465" s="142" t="s">
        <v>649</v>
      </c>
      <c r="G465" s="142" t="s">
        <v>651</v>
      </c>
      <c r="H465" s="142" t="s">
        <v>651</v>
      </c>
      <c r="I465" s="142" t="s">
        <v>651</v>
      </c>
      <c r="J465" s="142" t="s">
        <v>651</v>
      </c>
      <c r="K465" s="142" t="s">
        <v>651</v>
      </c>
      <c r="L465" s="142">
        <v>1</v>
      </c>
      <c r="M465" s="142" t="str">
        <f t="shared" ca="1" si="61"/>
        <v>Aucune case cochée</v>
      </c>
      <c r="N465" s="142" t="str">
        <f t="shared" ca="1" si="58"/>
        <v>Aucune case cochée</v>
      </c>
      <c r="O465" s="47">
        <v>1</v>
      </c>
      <c r="P465" s="142">
        <f t="shared" si="57"/>
        <v>1</v>
      </c>
      <c r="Q465" s="142">
        <f t="shared" ca="1" si="62"/>
        <v>1</v>
      </c>
      <c r="R465" s="142">
        <f t="shared" si="59"/>
        <v>1</v>
      </c>
      <c r="S465" s="218"/>
      <c r="T465" s="218"/>
      <c r="U465" s="219"/>
      <c r="V465" s="220"/>
      <c r="W465" s="218"/>
      <c r="X465" s="220"/>
      <c r="Y465" s="217"/>
      <c r="Z465" s="17"/>
    </row>
    <row r="466" spans="1:26" ht="32.1" customHeight="1" x14ac:dyDescent="0.2">
      <c r="A466" s="44" t="s">
        <v>767</v>
      </c>
      <c r="B466" s="44" t="s">
        <v>767</v>
      </c>
      <c r="C466" s="44" t="s">
        <v>768</v>
      </c>
      <c r="D466" s="44" t="s">
        <v>586</v>
      </c>
      <c r="E466" s="45">
        <f t="shared" si="60"/>
        <v>32</v>
      </c>
      <c r="F466" s="142" t="s">
        <v>649</v>
      </c>
      <c r="G466" s="142" t="s">
        <v>650</v>
      </c>
      <c r="H466" s="142" t="s">
        <v>650</v>
      </c>
      <c r="I466" s="142" t="s">
        <v>650</v>
      </c>
      <c r="J466" s="142" t="s">
        <v>650</v>
      </c>
      <c r="K466" s="142" t="s">
        <v>650</v>
      </c>
      <c r="L466" s="142">
        <v>2</v>
      </c>
      <c r="M466" s="142" t="str">
        <f t="shared" ca="1" si="61"/>
        <v>Aucune case cochée</v>
      </c>
      <c r="N466" s="142" t="str">
        <f t="shared" ca="1" si="58"/>
        <v>Aucune case cochée</v>
      </c>
      <c r="O466" s="47">
        <v>1</v>
      </c>
      <c r="P466" s="142">
        <f t="shared" si="57"/>
        <v>2</v>
      </c>
      <c r="Q466" s="142">
        <f t="shared" ca="1" si="62"/>
        <v>2</v>
      </c>
      <c r="R466" s="142">
        <f t="shared" si="59"/>
        <v>2</v>
      </c>
      <c r="S466" s="218"/>
      <c r="T466" s="218"/>
      <c r="U466" s="219"/>
      <c r="V466" s="220"/>
      <c r="W466" s="218"/>
      <c r="X466" s="220"/>
      <c r="Y466" s="217"/>
      <c r="Z466" s="17"/>
    </row>
    <row r="467" spans="1:26" ht="32.1" customHeight="1" x14ac:dyDescent="0.2">
      <c r="A467" s="44" t="s">
        <v>767</v>
      </c>
      <c r="B467" s="44" t="s">
        <v>767</v>
      </c>
      <c r="C467" s="44" t="s">
        <v>768</v>
      </c>
      <c r="D467" s="44" t="s">
        <v>587</v>
      </c>
      <c r="E467" s="45">
        <f t="shared" si="60"/>
        <v>34</v>
      </c>
      <c r="F467" s="142" t="s">
        <v>649</v>
      </c>
      <c r="G467" s="142" t="s">
        <v>650</v>
      </c>
      <c r="H467" s="142" t="s">
        <v>650</v>
      </c>
      <c r="I467" s="142" t="s">
        <v>650</v>
      </c>
      <c r="J467" s="142" t="s">
        <v>650</v>
      </c>
      <c r="K467" s="142" t="s">
        <v>650</v>
      </c>
      <c r="L467" s="142">
        <v>2</v>
      </c>
      <c r="M467" s="142" t="str">
        <f t="shared" ca="1" si="61"/>
        <v>Aucune case cochée</v>
      </c>
      <c r="N467" s="142" t="str">
        <f t="shared" ca="1" si="58"/>
        <v>Aucune case cochée</v>
      </c>
      <c r="O467" s="47">
        <v>1</v>
      </c>
      <c r="P467" s="142">
        <f t="shared" si="57"/>
        <v>2</v>
      </c>
      <c r="Q467" s="142">
        <f t="shared" ca="1" si="62"/>
        <v>2</v>
      </c>
      <c r="R467" s="142">
        <f t="shared" si="59"/>
        <v>2</v>
      </c>
      <c r="S467" s="218"/>
      <c r="T467" s="218"/>
      <c r="U467" s="219"/>
      <c r="V467" s="220"/>
      <c r="W467" s="218"/>
      <c r="X467" s="220"/>
      <c r="Y467" s="217"/>
      <c r="Z467" s="17"/>
    </row>
    <row r="468" spans="1:26" ht="32.1" customHeight="1" x14ac:dyDescent="0.2">
      <c r="A468" s="44" t="s">
        <v>767</v>
      </c>
      <c r="B468" s="44" t="s">
        <v>767</v>
      </c>
      <c r="C468" s="44" t="s">
        <v>768</v>
      </c>
      <c r="D468" s="44" t="s">
        <v>588</v>
      </c>
      <c r="E468" s="45">
        <f t="shared" si="60"/>
        <v>36</v>
      </c>
      <c r="F468" s="142" t="s">
        <v>649</v>
      </c>
      <c r="G468" s="142" t="s">
        <v>650</v>
      </c>
      <c r="H468" s="142" t="s">
        <v>650</v>
      </c>
      <c r="I468" s="142" t="s">
        <v>650</v>
      </c>
      <c r="J468" s="142" t="s">
        <v>650</v>
      </c>
      <c r="K468" s="142" t="s">
        <v>650</v>
      </c>
      <c r="L468" s="142">
        <v>2</v>
      </c>
      <c r="M468" s="142" t="str">
        <f t="shared" ca="1" si="61"/>
        <v>Aucune case cochée</v>
      </c>
      <c r="N468" s="142" t="str">
        <f t="shared" ca="1" si="58"/>
        <v>Aucune case cochée</v>
      </c>
      <c r="O468" s="47">
        <v>1</v>
      </c>
      <c r="P468" s="142">
        <f t="shared" si="57"/>
        <v>2</v>
      </c>
      <c r="Q468" s="142">
        <f t="shared" ca="1" si="62"/>
        <v>2</v>
      </c>
      <c r="R468" s="142">
        <f t="shared" si="59"/>
        <v>2</v>
      </c>
      <c r="S468" s="218"/>
      <c r="T468" s="218"/>
      <c r="U468" s="219"/>
      <c r="V468" s="220"/>
      <c r="W468" s="218"/>
      <c r="X468" s="220"/>
      <c r="Y468" s="217"/>
      <c r="Z468" s="17"/>
    </row>
    <row r="469" spans="1:26" ht="32.1" customHeight="1" x14ac:dyDescent="0.2">
      <c r="A469" s="44" t="s">
        <v>767</v>
      </c>
      <c r="B469" s="44" t="s">
        <v>767</v>
      </c>
      <c r="C469" s="44" t="s">
        <v>768</v>
      </c>
      <c r="D469" s="44" t="s">
        <v>574</v>
      </c>
      <c r="E469" s="45">
        <f t="shared" si="60"/>
        <v>38</v>
      </c>
      <c r="F469" s="142" t="s">
        <v>656</v>
      </c>
      <c r="G469" s="142" t="s">
        <v>650</v>
      </c>
      <c r="H469" s="142" t="s">
        <v>650</v>
      </c>
      <c r="I469" s="142" t="s">
        <v>650</v>
      </c>
      <c r="J469" s="142" t="s">
        <v>650</v>
      </c>
      <c r="K469" s="142" t="s">
        <v>650</v>
      </c>
      <c r="L469" s="142">
        <v>1</v>
      </c>
      <c r="M469" s="142" t="str">
        <f t="shared" ca="1" si="61"/>
        <v>Aucune case cochée</v>
      </c>
      <c r="N469" s="142" t="str">
        <f t="shared" ca="1" si="58"/>
        <v>Aucune case cochée</v>
      </c>
      <c r="O469" s="47">
        <v>0</v>
      </c>
      <c r="P469" s="142">
        <f t="shared" si="57"/>
        <v>0</v>
      </c>
      <c r="Q469" s="142">
        <f t="shared" ca="1" si="62"/>
        <v>3</v>
      </c>
      <c r="R469" s="142">
        <f t="shared" si="59"/>
        <v>3</v>
      </c>
      <c r="S469" s="218"/>
      <c r="T469" s="218"/>
      <c r="U469" s="219"/>
      <c r="V469" s="220"/>
      <c r="W469" s="218"/>
      <c r="X469" s="220"/>
      <c r="Y469" s="217"/>
      <c r="Z469" s="17"/>
    </row>
    <row r="470" spans="1:26" ht="32.1" customHeight="1" x14ac:dyDescent="0.2">
      <c r="A470" s="44" t="s">
        <v>767</v>
      </c>
      <c r="B470" s="44" t="s">
        <v>767</v>
      </c>
      <c r="C470" s="44" t="s">
        <v>768</v>
      </c>
      <c r="D470" s="44" t="s">
        <v>575</v>
      </c>
      <c r="E470" s="45">
        <f t="shared" si="60"/>
        <v>40</v>
      </c>
      <c r="F470" s="142" t="s">
        <v>656</v>
      </c>
      <c r="G470" s="142" t="s">
        <v>650</v>
      </c>
      <c r="H470" s="142" t="s">
        <v>650</v>
      </c>
      <c r="I470" s="142" t="s">
        <v>650</v>
      </c>
      <c r="J470" s="142" t="s">
        <v>650</v>
      </c>
      <c r="K470" s="142" t="s">
        <v>650</v>
      </c>
      <c r="L470" s="142">
        <v>1</v>
      </c>
      <c r="M470" s="142" t="str">
        <f t="shared" ca="1" si="61"/>
        <v>Aucune case cochée</v>
      </c>
      <c r="N470" s="142" t="str">
        <f t="shared" ca="1" si="58"/>
        <v>Aucune case cochée</v>
      </c>
      <c r="O470" s="47">
        <v>0</v>
      </c>
      <c r="P470" s="142">
        <f t="shared" si="57"/>
        <v>0</v>
      </c>
      <c r="Q470" s="142">
        <f t="shared" ca="1" si="62"/>
        <v>3</v>
      </c>
      <c r="R470" s="142">
        <f t="shared" si="59"/>
        <v>3</v>
      </c>
      <c r="S470" s="218"/>
      <c r="T470" s="218"/>
      <c r="U470" s="219"/>
      <c r="V470" s="220"/>
      <c r="W470" s="218"/>
      <c r="X470" s="220"/>
      <c r="Y470" s="217"/>
      <c r="Z470" s="17"/>
    </row>
    <row r="471" spans="1:26" ht="32.1" customHeight="1" x14ac:dyDescent="0.2">
      <c r="A471" s="44" t="s">
        <v>767</v>
      </c>
      <c r="B471" s="44" t="s">
        <v>767</v>
      </c>
      <c r="C471" s="44" t="s">
        <v>768</v>
      </c>
      <c r="D471" s="44" t="s">
        <v>570</v>
      </c>
      <c r="E471" s="45">
        <f t="shared" si="60"/>
        <v>42</v>
      </c>
      <c r="F471" s="142" t="s">
        <v>649</v>
      </c>
      <c r="G471" s="142" t="s">
        <v>651</v>
      </c>
      <c r="H471" s="142" t="s">
        <v>651</v>
      </c>
      <c r="I471" s="142" t="s">
        <v>651</v>
      </c>
      <c r="J471" s="142" t="s">
        <v>651</v>
      </c>
      <c r="K471" s="142" t="s">
        <v>651</v>
      </c>
      <c r="L471" s="142">
        <v>1</v>
      </c>
      <c r="M471" s="142" t="str">
        <f t="shared" ca="1" si="61"/>
        <v>Aucune case cochée</v>
      </c>
      <c r="N471" s="142" t="str">
        <f t="shared" ca="1" si="58"/>
        <v>Aucune case cochée</v>
      </c>
      <c r="O471" s="47">
        <v>1</v>
      </c>
      <c r="P471" s="142">
        <f t="shared" ref="P471:P495" si="63">IF(O471="Non concerné",O471,O471*L471)</f>
        <v>1</v>
      </c>
      <c r="Q471" s="142">
        <f t="shared" ca="1" si="62"/>
        <v>1</v>
      </c>
      <c r="R471" s="142">
        <f t="shared" si="59"/>
        <v>1</v>
      </c>
      <c r="S471" s="218"/>
      <c r="T471" s="218"/>
      <c r="U471" s="219"/>
      <c r="V471" s="220"/>
      <c r="W471" s="218"/>
      <c r="X471" s="220"/>
      <c r="Y471" s="217"/>
      <c r="Z471" s="17"/>
    </row>
    <row r="472" spans="1:26" ht="32.1" customHeight="1" x14ac:dyDescent="0.2">
      <c r="A472" s="44" t="s">
        <v>767</v>
      </c>
      <c r="B472" s="44" t="s">
        <v>767</v>
      </c>
      <c r="C472" s="44" t="s">
        <v>768</v>
      </c>
      <c r="D472" s="44" t="s">
        <v>589</v>
      </c>
      <c r="E472" s="45">
        <f t="shared" si="60"/>
        <v>44</v>
      </c>
      <c r="F472" s="142" t="s">
        <v>649</v>
      </c>
      <c r="G472" s="142" t="s">
        <v>650</v>
      </c>
      <c r="H472" s="142" t="s">
        <v>650</v>
      </c>
      <c r="I472" s="142" t="s">
        <v>650</v>
      </c>
      <c r="J472" s="142" t="s">
        <v>650</v>
      </c>
      <c r="K472" s="142" t="s">
        <v>650</v>
      </c>
      <c r="L472" s="142">
        <v>2</v>
      </c>
      <c r="M472" s="142" t="str">
        <f t="shared" ca="1" si="61"/>
        <v>Aucune case cochée</v>
      </c>
      <c r="N472" s="142" t="str">
        <f t="shared" ca="1" si="58"/>
        <v>Aucune case cochée</v>
      </c>
      <c r="O472" s="47">
        <v>1</v>
      </c>
      <c r="P472" s="142">
        <f t="shared" si="63"/>
        <v>2</v>
      </c>
      <c r="Q472" s="142">
        <f t="shared" ca="1" si="62"/>
        <v>2</v>
      </c>
      <c r="R472" s="142">
        <f t="shared" si="59"/>
        <v>2</v>
      </c>
      <c r="S472" s="218"/>
      <c r="T472" s="218"/>
      <c r="U472" s="219"/>
      <c r="V472" s="220"/>
      <c r="W472" s="218"/>
      <c r="X472" s="220"/>
      <c r="Y472" s="217"/>
      <c r="Z472" s="17"/>
    </row>
    <row r="473" spans="1:26" ht="32.1" customHeight="1" x14ac:dyDescent="0.2">
      <c r="A473" s="44" t="s">
        <v>767</v>
      </c>
      <c r="B473" s="44" t="s">
        <v>767</v>
      </c>
      <c r="C473" s="44" t="s">
        <v>768</v>
      </c>
      <c r="D473" s="44" t="s">
        <v>769</v>
      </c>
      <c r="E473" s="45">
        <f t="shared" si="60"/>
        <v>46</v>
      </c>
      <c r="F473" s="142" t="s">
        <v>649</v>
      </c>
      <c r="G473" s="142" t="s">
        <v>650</v>
      </c>
      <c r="H473" s="142" t="s">
        <v>650</v>
      </c>
      <c r="I473" s="142" t="s">
        <v>650</v>
      </c>
      <c r="J473" s="142" t="s">
        <v>650</v>
      </c>
      <c r="K473" s="142" t="s">
        <v>650</v>
      </c>
      <c r="L473" s="142">
        <v>2</v>
      </c>
      <c r="M473" s="142" t="str">
        <f t="shared" ca="1" si="61"/>
        <v>Aucune case cochée</v>
      </c>
      <c r="N473" s="142" t="str">
        <f t="shared" ca="1" si="58"/>
        <v>Aucune case cochée</v>
      </c>
      <c r="O473" s="47">
        <v>1</v>
      </c>
      <c r="P473" s="142">
        <f t="shared" si="63"/>
        <v>2</v>
      </c>
      <c r="Q473" s="142">
        <f t="shared" ca="1" si="62"/>
        <v>2</v>
      </c>
      <c r="R473" s="142">
        <f t="shared" si="59"/>
        <v>2</v>
      </c>
      <c r="S473" s="218"/>
      <c r="T473" s="218"/>
      <c r="U473" s="219"/>
      <c r="V473" s="220"/>
      <c r="W473" s="218"/>
      <c r="X473" s="220"/>
      <c r="Y473" s="217"/>
      <c r="Z473" s="17"/>
    </row>
    <row r="474" spans="1:26" ht="32.1" customHeight="1" x14ac:dyDescent="0.2">
      <c r="A474" s="44" t="s">
        <v>767</v>
      </c>
      <c r="B474" s="44" t="s">
        <v>767</v>
      </c>
      <c r="C474" s="44" t="s">
        <v>768</v>
      </c>
      <c r="D474" s="44" t="s">
        <v>326</v>
      </c>
      <c r="E474" s="45">
        <f t="shared" si="60"/>
        <v>48</v>
      </c>
      <c r="F474" s="142" t="s">
        <v>649</v>
      </c>
      <c r="G474" s="142" t="s">
        <v>650</v>
      </c>
      <c r="H474" s="142" t="s">
        <v>650</v>
      </c>
      <c r="I474" s="142" t="s">
        <v>650</v>
      </c>
      <c r="J474" s="142" t="s">
        <v>650</v>
      </c>
      <c r="K474" s="142" t="s">
        <v>650</v>
      </c>
      <c r="L474" s="142">
        <v>2</v>
      </c>
      <c r="M474" s="142" t="str">
        <f t="shared" ca="1" si="61"/>
        <v>Aucune case cochée</v>
      </c>
      <c r="N474" s="142" t="str">
        <f t="shared" ca="1" si="58"/>
        <v>Aucune case cochée</v>
      </c>
      <c r="O474" s="47">
        <v>1</v>
      </c>
      <c r="P474" s="142">
        <f t="shared" si="63"/>
        <v>2</v>
      </c>
      <c r="Q474" s="142">
        <f t="shared" ca="1" si="62"/>
        <v>2</v>
      </c>
      <c r="R474" s="142">
        <f t="shared" si="59"/>
        <v>2</v>
      </c>
      <c r="S474" s="218"/>
      <c r="T474" s="218"/>
      <c r="U474" s="219"/>
      <c r="V474" s="220"/>
      <c r="W474" s="218"/>
      <c r="X474" s="220"/>
      <c r="Y474" s="217"/>
      <c r="Z474" s="17"/>
    </row>
    <row r="475" spans="1:26" ht="32.1" customHeight="1" x14ac:dyDescent="0.2">
      <c r="A475" s="44" t="s">
        <v>767</v>
      </c>
      <c r="B475" s="44" t="s">
        <v>767</v>
      </c>
      <c r="C475" s="44" t="s">
        <v>768</v>
      </c>
      <c r="D475" s="44" t="s">
        <v>324</v>
      </c>
      <c r="E475" s="45">
        <f t="shared" si="60"/>
        <v>50</v>
      </c>
      <c r="F475" s="142" t="s">
        <v>656</v>
      </c>
      <c r="G475" s="142" t="s">
        <v>650</v>
      </c>
      <c r="H475" s="142" t="s">
        <v>650</v>
      </c>
      <c r="I475" s="142" t="s">
        <v>650</v>
      </c>
      <c r="J475" s="142" t="s">
        <v>650</v>
      </c>
      <c r="K475" s="142" t="s">
        <v>650</v>
      </c>
      <c r="L475" s="142">
        <v>1</v>
      </c>
      <c r="M475" s="142" t="str">
        <f t="shared" ca="1" si="61"/>
        <v>Aucune case cochée</v>
      </c>
      <c r="N475" s="142" t="str">
        <f t="shared" ca="1" si="58"/>
        <v>Aucune case cochée</v>
      </c>
      <c r="O475" s="47">
        <v>0</v>
      </c>
      <c r="P475" s="142">
        <f t="shared" si="63"/>
        <v>0</v>
      </c>
      <c r="Q475" s="142">
        <f t="shared" ca="1" si="62"/>
        <v>3</v>
      </c>
      <c r="R475" s="142">
        <f t="shared" si="59"/>
        <v>3</v>
      </c>
      <c r="S475" s="218"/>
      <c r="T475" s="218"/>
      <c r="U475" s="219"/>
      <c r="V475" s="220"/>
      <c r="W475" s="218"/>
      <c r="X475" s="220"/>
      <c r="Y475" s="217"/>
      <c r="Z475" s="17"/>
    </row>
    <row r="476" spans="1:26" ht="32.1" customHeight="1" x14ac:dyDescent="0.2">
      <c r="A476" s="44" t="s">
        <v>767</v>
      </c>
      <c r="B476" s="44" t="s">
        <v>767</v>
      </c>
      <c r="C476" s="44" t="s">
        <v>768</v>
      </c>
      <c r="D476" s="44" t="s">
        <v>325</v>
      </c>
      <c r="E476" s="45">
        <f t="shared" si="60"/>
        <v>52</v>
      </c>
      <c r="F476" s="142" t="s">
        <v>656</v>
      </c>
      <c r="G476" s="142" t="s">
        <v>650</v>
      </c>
      <c r="H476" s="142" t="s">
        <v>650</v>
      </c>
      <c r="I476" s="142" t="s">
        <v>650</v>
      </c>
      <c r="J476" s="142" t="s">
        <v>650</v>
      </c>
      <c r="K476" s="142" t="s">
        <v>650</v>
      </c>
      <c r="L476" s="142">
        <v>1</v>
      </c>
      <c r="M476" s="142" t="str">
        <f t="shared" ca="1" si="61"/>
        <v>Aucune case cochée</v>
      </c>
      <c r="N476" s="142" t="str">
        <f t="shared" ca="1" si="58"/>
        <v>Aucune case cochée</v>
      </c>
      <c r="O476" s="47">
        <v>0</v>
      </c>
      <c r="P476" s="142">
        <f t="shared" si="63"/>
        <v>0</v>
      </c>
      <c r="Q476" s="142">
        <f t="shared" ca="1" si="62"/>
        <v>3</v>
      </c>
      <c r="R476" s="142">
        <f t="shared" si="59"/>
        <v>3</v>
      </c>
      <c r="S476" s="218"/>
      <c r="T476" s="218"/>
      <c r="U476" s="219"/>
      <c r="V476" s="220"/>
      <c r="W476" s="218"/>
      <c r="X476" s="220"/>
      <c r="Y476" s="217"/>
      <c r="Z476" s="17"/>
    </row>
    <row r="477" spans="1:26" ht="32.1" customHeight="1" x14ac:dyDescent="0.2">
      <c r="A477" s="44" t="s">
        <v>767</v>
      </c>
      <c r="B477" s="44" t="s">
        <v>767</v>
      </c>
      <c r="C477" s="44" t="s">
        <v>770</v>
      </c>
      <c r="D477" s="44" t="s">
        <v>592</v>
      </c>
      <c r="E477" s="45">
        <f t="shared" si="60"/>
        <v>55</v>
      </c>
      <c r="F477" s="142" t="s">
        <v>649</v>
      </c>
      <c r="G477" s="142" t="s">
        <v>650</v>
      </c>
      <c r="H477" s="142" t="s">
        <v>650</v>
      </c>
      <c r="I477" s="142" t="s">
        <v>650</v>
      </c>
      <c r="J477" s="142" t="s">
        <v>650</v>
      </c>
      <c r="K477" s="142" t="s">
        <v>650</v>
      </c>
      <c r="L477" s="142">
        <v>2</v>
      </c>
      <c r="M477" s="142" t="str">
        <f t="shared" ca="1" si="61"/>
        <v>Aucune case cochée</v>
      </c>
      <c r="N477" s="142" t="str">
        <f t="shared" ca="1" si="58"/>
        <v>Aucune case cochée</v>
      </c>
      <c r="O477" s="47">
        <v>1</v>
      </c>
      <c r="P477" s="142">
        <f t="shared" si="63"/>
        <v>2</v>
      </c>
      <c r="Q477" s="142">
        <f t="shared" ca="1" si="62"/>
        <v>2</v>
      </c>
      <c r="R477" s="142">
        <f t="shared" si="59"/>
        <v>2</v>
      </c>
      <c r="S477" s="218">
        <f>SUM(P477:P484)</f>
        <v>8</v>
      </c>
      <c r="T477" s="218">
        <f>SUM(R477:R484)</f>
        <v>20</v>
      </c>
      <c r="U477" s="219">
        <f>+S477/T477</f>
        <v>0.4</v>
      </c>
      <c r="V477" s="220">
        <v>0.3</v>
      </c>
      <c r="W477" s="218"/>
      <c r="X477" s="220"/>
      <c r="Y477" s="217"/>
      <c r="Z477" s="17"/>
    </row>
    <row r="478" spans="1:26" ht="32.1" customHeight="1" x14ac:dyDescent="0.2">
      <c r="A478" s="44" t="s">
        <v>767</v>
      </c>
      <c r="B478" s="44" t="s">
        <v>767</v>
      </c>
      <c r="C478" s="44" t="s">
        <v>770</v>
      </c>
      <c r="D478" s="44" t="s">
        <v>593</v>
      </c>
      <c r="E478" s="45">
        <f t="shared" si="60"/>
        <v>57</v>
      </c>
      <c r="F478" s="142" t="s">
        <v>649</v>
      </c>
      <c r="G478" s="142" t="s">
        <v>650</v>
      </c>
      <c r="H478" s="142" t="s">
        <v>650</v>
      </c>
      <c r="I478" s="142" t="s">
        <v>650</v>
      </c>
      <c r="J478" s="142" t="s">
        <v>650</v>
      </c>
      <c r="K478" s="142" t="s">
        <v>650</v>
      </c>
      <c r="L478" s="142">
        <v>2</v>
      </c>
      <c r="M478" s="142" t="str">
        <f t="shared" ca="1" si="61"/>
        <v>Aucune case cochée</v>
      </c>
      <c r="N478" s="142" t="str">
        <f t="shared" ca="1" si="58"/>
        <v>Aucune case cochée</v>
      </c>
      <c r="O478" s="47">
        <v>1</v>
      </c>
      <c r="P478" s="142">
        <f t="shared" si="63"/>
        <v>2</v>
      </c>
      <c r="Q478" s="142">
        <f t="shared" ca="1" si="62"/>
        <v>2</v>
      </c>
      <c r="R478" s="142">
        <f t="shared" si="59"/>
        <v>2</v>
      </c>
      <c r="S478" s="218"/>
      <c r="T478" s="218"/>
      <c r="U478" s="219"/>
      <c r="V478" s="220"/>
      <c r="W478" s="218"/>
      <c r="X478" s="220"/>
      <c r="Y478" s="217"/>
      <c r="Z478" s="17"/>
    </row>
    <row r="479" spans="1:26" ht="32.1" customHeight="1" x14ac:dyDescent="0.2">
      <c r="A479" s="44" t="s">
        <v>767</v>
      </c>
      <c r="B479" s="44" t="s">
        <v>767</v>
      </c>
      <c r="C479" s="44" t="s">
        <v>770</v>
      </c>
      <c r="D479" s="44" t="s">
        <v>771</v>
      </c>
      <c r="E479" s="45">
        <f t="shared" si="60"/>
        <v>59</v>
      </c>
      <c r="F479" s="142" t="s">
        <v>649</v>
      </c>
      <c r="G479" s="142" t="s">
        <v>650</v>
      </c>
      <c r="H479" s="142" t="s">
        <v>650</v>
      </c>
      <c r="I479" s="142" t="s">
        <v>650</v>
      </c>
      <c r="J479" s="142" t="s">
        <v>650</v>
      </c>
      <c r="K479" s="142" t="s">
        <v>650</v>
      </c>
      <c r="L479" s="142">
        <v>2</v>
      </c>
      <c r="M479" s="142" t="str">
        <f t="shared" ca="1" si="61"/>
        <v>Aucune case cochée</v>
      </c>
      <c r="N479" s="142" t="str">
        <f t="shared" ca="1" si="58"/>
        <v>Aucune case cochée</v>
      </c>
      <c r="O479" s="47">
        <v>1</v>
      </c>
      <c r="P479" s="142">
        <f t="shared" si="63"/>
        <v>2</v>
      </c>
      <c r="Q479" s="142">
        <f t="shared" ca="1" si="62"/>
        <v>2</v>
      </c>
      <c r="R479" s="142">
        <f t="shared" si="59"/>
        <v>2</v>
      </c>
      <c r="S479" s="218"/>
      <c r="T479" s="218"/>
      <c r="U479" s="219"/>
      <c r="V479" s="220"/>
      <c r="W479" s="218"/>
      <c r="X479" s="220"/>
      <c r="Y479" s="217"/>
      <c r="Z479" s="17"/>
    </row>
    <row r="480" spans="1:26" ht="32.1" customHeight="1" x14ac:dyDescent="0.2">
      <c r="A480" s="44" t="s">
        <v>767</v>
      </c>
      <c r="B480" s="44" t="s">
        <v>767</v>
      </c>
      <c r="C480" s="44" t="s">
        <v>770</v>
      </c>
      <c r="D480" s="44" t="s">
        <v>595</v>
      </c>
      <c r="E480" s="45">
        <f t="shared" si="60"/>
        <v>61</v>
      </c>
      <c r="F480" s="142" t="s">
        <v>649</v>
      </c>
      <c r="G480" s="142" t="s">
        <v>650</v>
      </c>
      <c r="H480" s="142" t="s">
        <v>650</v>
      </c>
      <c r="I480" s="142" t="s">
        <v>650</v>
      </c>
      <c r="J480" s="142" t="s">
        <v>650</v>
      </c>
      <c r="K480" s="142" t="s">
        <v>650</v>
      </c>
      <c r="L480" s="142">
        <v>2</v>
      </c>
      <c r="M480" s="142" t="str">
        <f t="shared" ca="1" si="61"/>
        <v>Aucune case cochée</v>
      </c>
      <c r="N480" s="142" t="str">
        <f t="shared" ca="1" si="58"/>
        <v>Aucune case cochée</v>
      </c>
      <c r="O480" s="47">
        <v>1</v>
      </c>
      <c r="P480" s="142">
        <f t="shared" si="63"/>
        <v>2</v>
      </c>
      <c r="Q480" s="142">
        <f t="shared" ca="1" si="62"/>
        <v>2</v>
      </c>
      <c r="R480" s="142">
        <f t="shared" si="59"/>
        <v>2</v>
      </c>
      <c r="S480" s="218"/>
      <c r="T480" s="218"/>
      <c r="U480" s="219"/>
      <c r="V480" s="220"/>
      <c r="W480" s="218"/>
      <c r="X480" s="220"/>
      <c r="Y480" s="217"/>
      <c r="Z480" s="17"/>
    </row>
    <row r="481" spans="1:26" ht="32.1" customHeight="1" x14ac:dyDescent="0.2">
      <c r="A481" s="44" t="s">
        <v>767</v>
      </c>
      <c r="B481" s="44" t="s">
        <v>767</v>
      </c>
      <c r="C481" s="44" t="s">
        <v>770</v>
      </c>
      <c r="D481" s="44" t="s">
        <v>596</v>
      </c>
      <c r="E481" s="45">
        <f t="shared" si="60"/>
        <v>63</v>
      </c>
      <c r="F481" s="142" t="s">
        <v>656</v>
      </c>
      <c r="G481" s="142" t="s">
        <v>650</v>
      </c>
      <c r="H481" s="142" t="s">
        <v>650</v>
      </c>
      <c r="I481" s="142" t="s">
        <v>650</v>
      </c>
      <c r="J481" s="142" t="s">
        <v>650</v>
      </c>
      <c r="K481" s="142" t="s">
        <v>650</v>
      </c>
      <c r="L481" s="142">
        <v>1</v>
      </c>
      <c r="M481" s="142" t="str">
        <f t="shared" ca="1" si="61"/>
        <v>Aucune case cochée</v>
      </c>
      <c r="N481" s="142" t="str">
        <f t="shared" ca="1" si="58"/>
        <v>Aucune case cochée</v>
      </c>
      <c r="O481" s="47">
        <v>0</v>
      </c>
      <c r="P481" s="142">
        <f t="shared" si="63"/>
        <v>0</v>
      </c>
      <c r="Q481" s="142">
        <f t="shared" ca="1" si="62"/>
        <v>3</v>
      </c>
      <c r="R481" s="142">
        <f t="shared" si="59"/>
        <v>3</v>
      </c>
      <c r="S481" s="218"/>
      <c r="T481" s="218"/>
      <c r="U481" s="219"/>
      <c r="V481" s="220"/>
      <c r="W481" s="218"/>
      <c r="X481" s="220"/>
      <c r="Y481" s="217"/>
      <c r="Z481" s="17"/>
    </row>
    <row r="482" spans="1:26" ht="32.1" customHeight="1" x14ac:dyDescent="0.2">
      <c r="A482" s="44" t="s">
        <v>767</v>
      </c>
      <c r="B482" s="44" t="s">
        <v>767</v>
      </c>
      <c r="C482" s="44" t="s">
        <v>770</v>
      </c>
      <c r="D482" s="44" t="s">
        <v>597</v>
      </c>
      <c r="E482" s="45">
        <f t="shared" si="60"/>
        <v>65</v>
      </c>
      <c r="F482" s="142" t="s">
        <v>656</v>
      </c>
      <c r="G482" s="142" t="s">
        <v>650</v>
      </c>
      <c r="H482" s="142" t="s">
        <v>650</v>
      </c>
      <c r="I482" s="142" t="s">
        <v>650</v>
      </c>
      <c r="J482" s="142" t="s">
        <v>650</v>
      </c>
      <c r="K482" s="142" t="s">
        <v>650</v>
      </c>
      <c r="L482" s="142">
        <v>1</v>
      </c>
      <c r="M482" s="142" t="str">
        <f t="shared" ca="1" si="61"/>
        <v>Aucune case cochée</v>
      </c>
      <c r="N482" s="142" t="str">
        <f t="shared" ca="1" si="58"/>
        <v>Aucune case cochée</v>
      </c>
      <c r="O482" s="47">
        <v>0</v>
      </c>
      <c r="P482" s="142">
        <f t="shared" si="63"/>
        <v>0</v>
      </c>
      <c r="Q482" s="142">
        <f t="shared" ca="1" si="62"/>
        <v>3</v>
      </c>
      <c r="R482" s="142">
        <f t="shared" si="59"/>
        <v>3</v>
      </c>
      <c r="S482" s="218"/>
      <c r="T482" s="218"/>
      <c r="U482" s="219"/>
      <c r="V482" s="220"/>
      <c r="W482" s="218"/>
      <c r="X482" s="220"/>
      <c r="Y482" s="217"/>
      <c r="Z482" s="17"/>
    </row>
    <row r="483" spans="1:26" ht="32.1" customHeight="1" x14ac:dyDescent="0.2">
      <c r="A483" s="44" t="s">
        <v>767</v>
      </c>
      <c r="B483" s="44" t="s">
        <v>767</v>
      </c>
      <c r="C483" s="44" t="s">
        <v>770</v>
      </c>
      <c r="D483" s="44" t="s">
        <v>598</v>
      </c>
      <c r="E483" s="45">
        <f t="shared" si="60"/>
        <v>67</v>
      </c>
      <c r="F483" s="142" t="s">
        <v>656</v>
      </c>
      <c r="G483" s="142" t="s">
        <v>650</v>
      </c>
      <c r="H483" s="142" t="s">
        <v>650</v>
      </c>
      <c r="I483" s="142" t="s">
        <v>650</v>
      </c>
      <c r="J483" s="142" t="s">
        <v>650</v>
      </c>
      <c r="K483" s="142" t="s">
        <v>650</v>
      </c>
      <c r="L483" s="142">
        <v>1</v>
      </c>
      <c r="M483" s="142" t="str">
        <f t="shared" ca="1" si="61"/>
        <v>Aucune case cochée</v>
      </c>
      <c r="N483" s="142" t="str">
        <f t="shared" ca="1" si="58"/>
        <v>Aucune case cochée</v>
      </c>
      <c r="O483" s="47">
        <v>0</v>
      </c>
      <c r="P483" s="142">
        <f t="shared" si="63"/>
        <v>0</v>
      </c>
      <c r="Q483" s="142">
        <f t="shared" ca="1" si="62"/>
        <v>3</v>
      </c>
      <c r="R483" s="142">
        <f t="shared" si="59"/>
        <v>3</v>
      </c>
      <c r="S483" s="218"/>
      <c r="T483" s="218"/>
      <c r="U483" s="219"/>
      <c r="V483" s="220"/>
      <c r="W483" s="218"/>
      <c r="X483" s="220"/>
      <c r="Y483" s="217"/>
      <c r="Z483" s="17"/>
    </row>
    <row r="484" spans="1:26" ht="32.1" customHeight="1" x14ac:dyDescent="0.2">
      <c r="A484" s="44" t="s">
        <v>767</v>
      </c>
      <c r="B484" s="44" t="s">
        <v>767</v>
      </c>
      <c r="C484" s="44" t="s">
        <v>770</v>
      </c>
      <c r="D484" s="44" t="s">
        <v>599</v>
      </c>
      <c r="E484" s="45">
        <f t="shared" si="60"/>
        <v>69</v>
      </c>
      <c r="F484" s="142" t="s">
        <v>656</v>
      </c>
      <c r="G484" s="142" t="s">
        <v>650</v>
      </c>
      <c r="H484" s="142" t="s">
        <v>650</v>
      </c>
      <c r="I484" s="142" t="s">
        <v>650</v>
      </c>
      <c r="J484" s="142" t="s">
        <v>650</v>
      </c>
      <c r="K484" s="142" t="s">
        <v>650</v>
      </c>
      <c r="L484" s="142">
        <v>1</v>
      </c>
      <c r="M484" s="142" t="str">
        <f t="shared" ca="1" si="61"/>
        <v>Aucune case cochée</v>
      </c>
      <c r="N484" s="142" t="str">
        <f t="shared" ca="1" si="58"/>
        <v>Aucune case cochée</v>
      </c>
      <c r="O484" s="47">
        <v>0</v>
      </c>
      <c r="P484" s="142">
        <f t="shared" si="63"/>
        <v>0</v>
      </c>
      <c r="Q484" s="142">
        <f t="shared" ca="1" si="62"/>
        <v>3</v>
      </c>
      <c r="R484" s="142">
        <f t="shared" si="59"/>
        <v>3</v>
      </c>
      <c r="S484" s="218"/>
      <c r="T484" s="218"/>
      <c r="U484" s="219"/>
      <c r="V484" s="220"/>
      <c r="W484" s="218"/>
      <c r="X484" s="220"/>
      <c r="Y484" s="217"/>
      <c r="Z484" s="17"/>
    </row>
    <row r="485" spans="1:26" ht="32.1" customHeight="1" x14ac:dyDescent="0.2">
      <c r="A485" s="44" t="s">
        <v>767</v>
      </c>
      <c r="B485" s="44" t="s">
        <v>767</v>
      </c>
      <c r="C485" s="44" t="s">
        <v>772</v>
      </c>
      <c r="D485" s="44" t="s">
        <v>601</v>
      </c>
      <c r="E485" s="45">
        <f t="shared" si="60"/>
        <v>72</v>
      </c>
      <c r="F485" s="142" t="s">
        <v>649</v>
      </c>
      <c r="G485" s="142" t="s">
        <v>651</v>
      </c>
      <c r="H485" s="142" t="s">
        <v>651</v>
      </c>
      <c r="I485" s="142" t="s">
        <v>651</v>
      </c>
      <c r="J485" s="142" t="s">
        <v>651</v>
      </c>
      <c r="K485" s="142" t="s">
        <v>651</v>
      </c>
      <c r="L485" s="142">
        <v>2</v>
      </c>
      <c r="M485" s="142" t="str">
        <f t="shared" ca="1" si="61"/>
        <v>Aucune case cochée</v>
      </c>
      <c r="N485" s="142" t="str">
        <f t="shared" ca="1" si="58"/>
        <v>Aucune case cochée</v>
      </c>
      <c r="O485" s="47">
        <v>1</v>
      </c>
      <c r="P485" s="142">
        <f t="shared" si="63"/>
        <v>2</v>
      </c>
      <c r="Q485" s="142">
        <f t="shared" ca="1" si="62"/>
        <v>2</v>
      </c>
      <c r="R485" s="142">
        <f t="shared" si="59"/>
        <v>2</v>
      </c>
      <c r="S485" s="218">
        <f>SUM(P485:P486)</f>
        <v>3</v>
      </c>
      <c r="T485" s="218">
        <f>SUM(R485:R486)</f>
        <v>3</v>
      </c>
      <c r="U485" s="219">
        <f>+S485/T485</f>
        <v>1</v>
      </c>
      <c r="V485" s="220">
        <v>0.1</v>
      </c>
      <c r="W485" s="218"/>
      <c r="X485" s="220"/>
      <c r="Y485" s="217"/>
      <c r="Z485" s="17"/>
    </row>
    <row r="486" spans="1:26" ht="32.1" customHeight="1" x14ac:dyDescent="0.2">
      <c r="A486" s="44" t="s">
        <v>767</v>
      </c>
      <c r="B486" s="44" t="s">
        <v>767</v>
      </c>
      <c r="C486" s="44" t="s">
        <v>772</v>
      </c>
      <c r="D486" s="44" t="s">
        <v>602</v>
      </c>
      <c r="E486" s="45">
        <f t="shared" si="60"/>
        <v>74</v>
      </c>
      <c r="F486" s="142" t="s">
        <v>649</v>
      </c>
      <c r="G486" s="142" t="s">
        <v>651</v>
      </c>
      <c r="H486" s="142" t="s">
        <v>651</v>
      </c>
      <c r="I486" s="142" t="s">
        <v>651</v>
      </c>
      <c r="J486" s="142" t="s">
        <v>651</v>
      </c>
      <c r="K486" s="142" t="s">
        <v>651</v>
      </c>
      <c r="L486" s="142">
        <v>1</v>
      </c>
      <c r="M486" s="142" t="str">
        <f t="shared" ca="1" si="61"/>
        <v>Aucune case cochée</v>
      </c>
      <c r="N486" s="142" t="str">
        <f t="shared" ca="1" si="58"/>
        <v>Aucune case cochée</v>
      </c>
      <c r="O486" s="47">
        <v>1</v>
      </c>
      <c r="P486" s="142">
        <f t="shared" si="63"/>
        <v>1</v>
      </c>
      <c r="Q486" s="142">
        <f t="shared" ca="1" si="62"/>
        <v>1</v>
      </c>
      <c r="R486" s="142">
        <f t="shared" si="59"/>
        <v>1</v>
      </c>
      <c r="S486" s="218"/>
      <c r="T486" s="218"/>
      <c r="U486" s="219"/>
      <c r="V486" s="220"/>
      <c r="W486" s="218"/>
      <c r="X486" s="220"/>
      <c r="Y486" s="217"/>
      <c r="Z486" s="17"/>
    </row>
    <row r="487" spans="1:26" ht="32.1" customHeight="1" x14ac:dyDescent="0.2">
      <c r="A487" s="44" t="s">
        <v>773</v>
      </c>
      <c r="B487" s="44" t="s">
        <v>774</v>
      </c>
      <c r="C487" s="44" t="s">
        <v>775</v>
      </c>
      <c r="D487" s="44" t="s">
        <v>605</v>
      </c>
      <c r="E487" s="45">
        <f t="shared" si="60"/>
        <v>10</v>
      </c>
      <c r="F487" s="142" t="s">
        <v>649</v>
      </c>
      <c r="G487" s="142" t="s">
        <v>650</v>
      </c>
      <c r="H487" s="142" t="s">
        <v>650</v>
      </c>
      <c r="I487" s="142" t="s">
        <v>650</v>
      </c>
      <c r="J487" s="142" t="s">
        <v>650</v>
      </c>
      <c r="K487" s="142" t="s">
        <v>650</v>
      </c>
      <c r="L487" s="142">
        <v>4</v>
      </c>
      <c r="M487" s="142" t="str">
        <f t="shared" ca="1" si="61"/>
        <v>Aucune case cochée</v>
      </c>
      <c r="N487" s="142" t="str">
        <f t="shared" ca="1" si="58"/>
        <v>Aucune case cochée</v>
      </c>
      <c r="O487" s="47">
        <v>1</v>
      </c>
      <c r="P487" s="142">
        <f t="shared" si="63"/>
        <v>4</v>
      </c>
      <c r="Q487" s="142">
        <f t="shared" ca="1" si="62"/>
        <v>4</v>
      </c>
      <c r="R487" s="142">
        <f t="shared" si="59"/>
        <v>4</v>
      </c>
      <c r="S487" s="218">
        <f>SUM(P487:P489)</f>
        <v>9</v>
      </c>
      <c r="T487" s="218">
        <f>SUM(R487:R489)</f>
        <v>9</v>
      </c>
      <c r="U487" s="219">
        <f>+S487/T487</f>
        <v>1</v>
      </c>
      <c r="V487" s="220">
        <v>0.3</v>
      </c>
      <c r="W487" s="222">
        <f>U487*V487+U490*V490+U494*V494</f>
        <v>1</v>
      </c>
      <c r="X487" s="220">
        <v>2.5000000000000001E-2</v>
      </c>
      <c r="Y487" s="217"/>
      <c r="Z487" s="17"/>
    </row>
    <row r="488" spans="1:26" ht="32.1" customHeight="1" x14ac:dyDescent="0.2">
      <c r="A488" s="44" t="s">
        <v>773</v>
      </c>
      <c r="B488" s="44" t="s">
        <v>774</v>
      </c>
      <c r="C488" s="44" t="s">
        <v>775</v>
      </c>
      <c r="D488" s="44" t="s">
        <v>606</v>
      </c>
      <c r="E488" s="45">
        <f t="shared" si="60"/>
        <v>12</v>
      </c>
      <c r="F488" s="142" t="s">
        <v>649</v>
      </c>
      <c r="G488" s="142" t="s">
        <v>650</v>
      </c>
      <c r="H488" s="142" t="s">
        <v>650</v>
      </c>
      <c r="I488" s="142" t="s">
        <v>651</v>
      </c>
      <c r="J488" s="142" t="s">
        <v>651</v>
      </c>
      <c r="K488" s="142" t="s">
        <v>651</v>
      </c>
      <c r="L488" s="142">
        <v>4</v>
      </c>
      <c r="M488" s="142" t="str">
        <f t="shared" ca="1" si="61"/>
        <v>Aucune case cochée</v>
      </c>
      <c r="N488" s="142" t="str">
        <f t="shared" ca="1" si="58"/>
        <v>Aucune case cochée</v>
      </c>
      <c r="O488" s="47">
        <v>1</v>
      </c>
      <c r="P488" s="142">
        <f t="shared" si="63"/>
        <v>4</v>
      </c>
      <c r="Q488" s="142">
        <f t="shared" ca="1" si="62"/>
        <v>4</v>
      </c>
      <c r="R488" s="142">
        <f t="shared" si="59"/>
        <v>4</v>
      </c>
      <c r="S488" s="218"/>
      <c r="T488" s="218"/>
      <c r="U488" s="219"/>
      <c r="V488" s="220"/>
      <c r="W488" s="218"/>
      <c r="X488" s="220"/>
      <c r="Y488" s="217"/>
      <c r="Z488" s="17"/>
    </row>
    <row r="489" spans="1:26" ht="32.1" customHeight="1" x14ac:dyDescent="0.2">
      <c r="A489" s="44" t="s">
        <v>773</v>
      </c>
      <c r="B489" s="44" t="s">
        <v>774</v>
      </c>
      <c r="C489" s="44" t="s">
        <v>775</v>
      </c>
      <c r="D489" s="44" t="s">
        <v>607</v>
      </c>
      <c r="E489" s="45">
        <f t="shared" si="60"/>
        <v>14</v>
      </c>
      <c r="F489" s="142" t="s">
        <v>649</v>
      </c>
      <c r="G489" s="142" t="s">
        <v>651</v>
      </c>
      <c r="H489" s="142" t="s">
        <v>651</v>
      </c>
      <c r="I489" s="142" t="s">
        <v>651</v>
      </c>
      <c r="J489" s="142" t="s">
        <v>651</v>
      </c>
      <c r="K489" s="142" t="s">
        <v>651</v>
      </c>
      <c r="L489" s="142">
        <v>1</v>
      </c>
      <c r="M489" s="142" t="str">
        <f t="shared" ca="1" si="61"/>
        <v>Aucune case cochée</v>
      </c>
      <c r="N489" s="142" t="str">
        <f t="shared" ca="1" si="58"/>
        <v>Aucune case cochée</v>
      </c>
      <c r="O489" s="47">
        <v>1</v>
      </c>
      <c r="P489" s="142">
        <f t="shared" si="63"/>
        <v>1</v>
      </c>
      <c r="Q489" s="142">
        <f t="shared" ca="1" si="62"/>
        <v>1</v>
      </c>
      <c r="R489" s="142">
        <f t="shared" si="59"/>
        <v>1</v>
      </c>
      <c r="S489" s="218"/>
      <c r="T489" s="218"/>
      <c r="U489" s="219"/>
      <c r="V489" s="220"/>
      <c r="W489" s="218"/>
      <c r="X489" s="220"/>
      <c r="Y489" s="217"/>
      <c r="Z489" s="17"/>
    </row>
    <row r="490" spans="1:26" ht="38.700000000000003" customHeight="1" x14ac:dyDescent="0.2">
      <c r="A490" s="44" t="s">
        <v>773</v>
      </c>
      <c r="B490" s="44" t="s">
        <v>774</v>
      </c>
      <c r="C490" s="44" t="s">
        <v>776</v>
      </c>
      <c r="D490" s="44" t="s">
        <v>609</v>
      </c>
      <c r="E490" s="45">
        <f t="shared" si="60"/>
        <v>17</v>
      </c>
      <c r="F490" s="142" t="s">
        <v>649</v>
      </c>
      <c r="G490" s="142" t="s">
        <v>650</v>
      </c>
      <c r="H490" s="142" t="s">
        <v>650</v>
      </c>
      <c r="I490" s="142" t="s">
        <v>650</v>
      </c>
      <c r="J490" s="142" t="s">
        <v>650</v>
      </c>
      <c r="K490" s="142" t="s">
        <v>650</v>
      </c>
      <c r="L490" s="142">
        <v>4</v>
      </c>
      <c r="M490" s="142" t="str">
        <f t="shared" ca="1" si="61"/>
        <v>Aucune case cochée</v>
      </c>
      <c r="N490" s="142" t="str">
        <f t="shared" ca="1" si="58"/>
        <v>Aucune case cochée</v>
      </c>
      <c r="O490" s="47">
        <v>1</v>
      </c>
      <c r="P490" s="142">
        <f t="shared" si="63"/>
        <v>4</v>
      </c>
      <c r="Q490" s="142">
        <f t="shared" ca="1" si="62"/>
        <v>4</v>
      </c>
      <c r="R490" s="142">
        <f t="shared" si="59"/>
        <v>4</v>
      </c>
      <c r="S490" s="218">
        <f>SUM(P490:P493)</f>
        <v>10</v>
      </c>
      <c r="T490" s="218">
        <f>SUM(R490:R493)</f>
        <v>10</v>
      </c>
      <c r="U490" s="219">
        <f>+S490/T490</f>
        <v>1</v>
      </c>
      <c r="V490" s="220">
        <v>0.3</v>
      </c>
      <c r="W490" s="218"/>
      <c r="X490" s="220"/>
      <c r="Y490" s="217"/>
      <c r="Z490" s="17"/>
    </row>
    <row r="491" spans="1:26" ht="35.1" customHeight="1" x14ac:dyDescent="0.2">
      <c r="A491" s="44" t="s">
        <v>773</v>
      </c>
      <c r="B491" s="44" t="s">
        <v>774</v>
      </c>
      <c r="C491" s="44" t="s">
        <v>776</v>
      </c>
      <c r="D491" s="44" t="s">
        <v>610</v>
      </c>
      <c r="E491" s="45">
        <f t="shared" si="60"/>
        <v>19</v>
      </c>
      <c r="F491" s="142" t="s">
        <v>649</v>
      </c>
      <c r="G491" s="142" t="s">
        <v>650</v>
      </c>
      <c r="H491" s="142" t="s">
        <v>650</v>
      </c>
      <c r="I491" s="142" t="s">
        <v>650</v>
      </c>
      <c r="J491" s="142" t="s">
        <v>650</v>
      </c>
      <c r="K491" s="142" t="s">
        <v>650</v>
      </c>
      <c r="L491" s="142">
        <v>4</v>
      </c>
      <c r="M491" s="142" t="str">
        <f t="shared" ca="1" si="61"/>
        <v>Aucune case cochée</v>
      </c>
      <c r="N491" s="142" t="str">
        <f t="shared" ca="1" si="58"/>
        <v>Aucune case cochée</v>
      </c>
      <c r="O491" s="47">
        <v>1</v>
      </c>
      <c r="P491" s="142">
        <f t="shared" si="63"/>
        <v>4</v>
      </c>
      <c r="Q491" s="142">
        <f t="shared" ca="1" si="62"/>
        <v>4</v>
      </c>
      <c r="R491" s="142">
        <f t="shared" si="59"/>
        <v>4</v>
      </c>
      <c r="S491" s="218"/>
      <c r="T491" s="218"/>
      <c r="U491" s="219"/>
      <c r="V491" s="220"/>
      <c r="W491" s="218"/>
      <c r="X491" s="220"/>
      <c r="Y491" s="217"/>
      <c r="Z491" s="17"/>
    </row>
    <row r="492" spans="1:26" ht="32.1" customHeight="1" x14ac:dyDescent="0.2">
      <c r="A492" s="44" t="s">
        <v>773</v>
      </c>
      <c r="B492" s="44" t="s">
        <v>774</v>
      </c>
      <c r="C492" s="44" t="s">
        <v>776</v>
      </c>
      <c r="D492" s="44" t="s">
        <v>611</v>
      </c>
      <c r="E492" s="45">
        <f t="shared" si="60"/>
        <v>21</v>
      </c>
      <c r="F492" s="142" t="s">
        <v>649</v>
      </c>
      <c r="G492" s="142" t="s">
        <v>651</v>
      </c>
      <c r="H492" s="142" t="s">
        <v>651</v>
      </c>
      <c r="I492" s="142" t="s">
        <v>651</v>
      </c>
      <c r="J492" s="142" t="s">
        <v>651</v>
      </c>
      <c r="K492" s="142" t="s">
        <v>651</v>
      </c>
      <c r="L492" s="142">
        <v>1</v>
      </c>
      <c r="M492" s="142" t="str">
        <f t="shared" ca="1" si="61"/>
        <v>Aucune case cochée</v>
      </c>
      <c r="N492" s="142" t="str">
        <f t="shared" ca="1" si="58"/>
        <v>Aucune case cochée</v>
      </c>
      <c r="O492" s="47">
        <v>1</v>
      </c>
      <c r="P492" s="142">
        <f t="shared" si="63"/>
        <v>1</v>
      </c>
      <c r="Q492" s="142">
        <f t="shared" ca="1" si="62"/>
        <v>1</v>
      </c>
      <c r="R492" s="142">
        <f t="shared" si="59"/>
        <v>1</v>
      </c>
      <c r="S492" s="218"/>
      <c r="T492" s="218"/>
      <c r="U492" s="219"/>
      <c r="V492" s="220"/>
      <c r="W492" s="218"/>
      <c r="X492" s="220"/>
      <c r="Y492" s="217"/>
      <c r="Z492" s="17"/>
    </row>
    <row r="493" spans="1:26" ht="32.1" customHeight="1" x14ac:dyDescent="0.2">
      <c r="A493" s="44" t="s">
        <v>773</v>
      </c>
      <c r="B493" s="44" t="s">
        <v>774</v>
      </c>
      <c r="C493" s="44" t="s">
        <v>776</v>
      </c>
      <c r="D493" s="44" t="s">
        <v>612</v>
      </c>
      <c r="E493" s="45">
        <f t="shared" si="60"/>
        <v>23</v>
      </c>
      <c r="F493" s="142" t="s">
        <v>649</v>
      </c>
      <c r="G493" s="142" t="s">
        <v>651</v>
      </c>
      <c r="H493" s="142" t="s">
        <v>651</v>
      </c>
      <c r="I493" s="142" t="s">
        <v>651</v>
      </c>
      <c r="J493" s="142" t="s">
        <v>651</v>
      </c>
      <c r="K493" s="142" t="s">
        <v>651</v>
      </c>
      <c r="L493" s="142">
        <v>1</v>
      </c>
      <c r="M493" s="142" t="str">
        <f t="shared" ca="1" si="61"/>
        <v>Aucune case cochée</v>
      </c>
      <c r="N493" s="142" t="str">
        <f t="shared" ca="1" si="58"/>
        <v>Aucune case cochée</v>
      </c>
      <c r="O493" s="47">
        <v>1</v>
      </c>
      <c r="P493" s="142">
        <f t="shared" si="63"/>
        <v>1</v>
      </c>
      <c r="Q493" s="142">
        <f t="shared" ca="1" si="62"/>
        <v>1</v>
      </c>
      <c r="R493" s="142">
        <f t="shared" si="59"/>
        <v>1</v>
      </c>
      <c r="S493" s="218"/>
      <c r="T493" s="218"/>
      <c r="U493" s="219"/>
      <c r="V493" s="220"/>
      <c r="W493" s="218"/>
      <c r="X493" s="220"/>
      <c r="Y493" s="217"/>
      <c r="Z493" s="17"/>
    </row>
    <row r="494" spans="1:26" ht="32.1" customHeight="1" x14ac:dyDescent="0.2">
      <c r="A494" s="44" t="s">
        <v>773</v>
      </c>
      <c r="B494" s="44" t="s">
        <v>774</v>
      </c>
      <c r="C494" s="44" t="s">
        <v>777</v>
      </c>
      <c r="D494" s="44" t="s">
        <v>614</v>
      </c>
      <c r="E494" s="45">
        <f t="shared" si="60"/>
        <v>26</v>
      </c>
      <c r="F494" s="142" t="s">
        <v>649</v>
      </c>
      <c r="G494" s="142" t="s">
        <v>650</v>
      </c>
      <c r="H494" s="142" t="s">
        <v>650</v>
      </c>
      <c r="I494" s="142" t="s">
        <v>650</v>
      </c>
      <c r="J494" s="142" t="s">
        <v>650</v>
      </c>
      <c r="K494" s="142" t="s">
        <v>650</v>
      </c>
      <c r="L494" s="142">
        <v>6</v>
      </c>
      <c r="M494" s="142" t="str">
        <f t="shared" ca="1" si="61"/>
        <v>Aucune case cochée</v>
      </c>
      <c r="N494" s="142" t="str">
        <f t="shared" ca="1" si="58"/>
        <v>Aucune case cochée</v>
      </c>
      <c r="O494" s="47">
        <v>1</v>
      </c>
      <c r="P494" s="142">
        <f t="shared" si="63"/>
        <v>6</v>
      </c>
      <c r="Q494" s="142">
        <f t="shared" ca="1" si="62"/>
        <v>6</v>
      </c>
      <c r="R494" s="142">
        <f t="shared" si="59"/>
        <v>6</v>
      </c>
      <c r="S494" s="218">
        <f>SUM(P494:P495)</f>
        <v>7</v>
      </c>
      <c r="T494" s="218">
        <f>SUM(R494:R495)</f>
        <v>7</v>
      </c>
      <c r="U494" s="219">
        <f>+S494/T494</f>
        <v>1</v>
      </c>
      <c r="V494" s="220">
        <v>0.4</v>
      </c>
      <c r="W494" s="218"/>
      <c r="X494" s="220"/>
      <c r="Y494" s="217"/>
      <c r="Z494" s="17"/>
    </row>
    <row r="495" spans="1:26" ht="32.1" customHeight="1" x14ac:dyDescent="0.2">
      <c r="A495" s="44" t="s">
        <v>773</v>
      </c>
      <c r="B495" s="44" t="s">
        <v>774</v>
      </c>
      <c r="C495" s="44" t="s">
        <v>777</v>
      </c>
      <c r="D495" s="44" t="s">
        <v>615</v>
      </c>
      <c r="E495" s="45">
        <f t="shared" si="60"/>
        <v>28</v>
      </c>
      <c r="F495" s="142" t="s">
        <v>649</v>
      </c>
      <c r="G495" s="142" t="s">
        <v>651</v>
      </c>
      <c r="H495" s="142" t="s">
        <v>651</v>
      </c>
      <c r="I495" s="142" t="s">
        <v>651</v>
      </c>
      <c r="J495" s="142" t="s">
        <v>651</v>
      </c>
      <c r="K495" s="142" t="s">
        <v>651</v>
      </c>
      <c r="L495" s="142">
        <v>1</v>
      </c>
      <c r="M495" s="142" t="str">
        <f t="shared" ca="1" si="61"/>
        <v>Aucune case cochée</v>
      </c>
      <c r="N495" s="142" t="str">
        <f t="shared" ca="1" si="58"/>
        <v>Aucune case cochée</v>
      </c>
      <c r="O495" s="47">
        <v>1</v>
      </c>
      <c r="P495" s="142">
        <f t="shared" si="63"/>
        <v>1</v>
      </c>
      <c r="Q495" s="142">
        <f t="shared" ca="1" si="62"/>
        <v>1</v>
      </c>
      <c r="R495" s="142">
        <f t="shared" si="59"/>
        <v>1</v>
      </c>
      <c r="S495" s="218"/>
      <c r="T495" s="218"/>
      <c r="U495" s="219"/>
      <c r="V495" s="220"/>
      <c r="W495" s="218"/>
      <c r="X495" s="220"/>
      <c r="Y495" s="217"/>
      <c r="Z495" s="17"/>
    </row>
    <row r="496" spans="1:26" ht="32.1" customHeight="1" x14ac:dyDescent="0.2">
      <c r="A496" s="51"/>
      <c r="B496" s="51"/>
      <c r="C496" s="51"/>
      <c r="D496" s="52"/>
      <c r="E496" s="52"/>
      <c r="F496" s="53"/>
      <c r="G496" s="53"/>
      <c r="H496" s="53"/>
      <c r="I496" s="53"/>
      <c r="J496" s="53"/>
      <c r="K496" s="53"/>
      <c r="L496" s="53"/>
      <c r="M496" s="53"/>
      <c r="N496" s="53"/>
      <c r="O496" s="54"/>
      <c r="P496" s="53"/>
      <c r="Q496" s="53"/>
      <c r="R496" s="53"/>
      <c r="S496" s="53"/>
      <c r="T496" s="52"/>
      <c r="U496" s="55"/>
      <c r="V496" s="56"/>
      <c r="W496" s="51"/>
      <c r="X496" s="57"/>
      <c r="Y496" s="52"/>
    </row>
  </sheetData>
  <autoFilter ref="B1:Y495" xr:uid="{00000000-0001-0000-0000-000000000000}"/>
  <mergeCells count="323">
    <mergeCell ref="X487:X495"/>
    <mergeCell ref="S490:S493"/>
    <mergeCell ref="T490:T493"/>
    <mergeCell ref="U490:U493"/>
    <mergeCell ref="V490:V493"/>
    <mergeCell ref="S494:S495"/>
    <mergeCell ref="T494:T495"/>
    <mergeCell ref="U494:U495"/>
    <mergeCell ref="V494:V495"/>
    <mergeCell ref="S487:S489"/>
    <mergeCell ref="T487:T489"/>
    <mergeCell ref="U487:U489"/>
    <mergeCell ref="V487:V489"/>
    <mergeCell ref="S455:S476"/>
    <mergeCell ref="T455:T476"/>
    <mergeCell ref="U455:U476"/>
    <mergeCell ref="V455:V476"/>
    <mergeCell ref="W487:W495"/>
    <mergeCell ref="U408:U415"/>
    <mergeCell ref="V408:V415"/>
    <mergeCell ref="W455:W486"/>
    <mergeCell ref="X455:X486"/>
    <mergeCell ref="S477:S484"/>
    <mergeCell ref="T477:T484"/>
    <mergeCell ref="U477:U484"/>
    <mergeCell ref="V477:V484"/>
    <mergeCell ref="S432:S446"/>
    <mergeCell ref="T432:T446"/>
    <mergeCell ref="U432:U446"/>
    <mergeCell ref="V432:V446"/>
    <mergeCell ref="S447:S454"/>
    <mergeCell ref="T447:T454"/>
    <mergeCell ref="U447:U454"/>
    <mergeCell ref="V447:V454"/>
    <mergeCell ref="S485:S486"/>
    <mergeCell ref="T485:T486"/>
    <mergeCell ref="U485:U486"/>
    <mergeCell ref="V485:V486"/>
    <mergeCell ref="S380:S384"/>
    <mergeCell ref="T380:T384"/>
    <mergeCell ref="U380:U384"/>
    <mergeCell ref="V380:V384"/>
    <mergeCell ref="W380:W454"/>
    <mergeCell ref="X380:X454"/>
    <mergeCell ref="S385:S392"/>
    <mergeCell ref="T385:T392"/>
    <mergeCell ref="U385:U392"/>
    <mergeCell ref="V385:V392"/>
    <mergeCell ref="S416:S423"/>
    <mergeCell ref="T416:T423"/>
    <mergeCell ref="U416:U423"/>
    <mergeCell ref="V416:V423"/>
    <mergeCell ref="S424:S431"/>
    <mergeCell ref="T424:T431"/>
    <mergeCell ref="U424:U431"/>
    <mergeCell ref="V424:V431"/>
    <mergeCell ref="S393:S407"/>
    <mergeCell ref="T393:T407"/>
    <mergeCell ref="U393:U407"/>
    <mergeCell ref="V393:V407"/>
    <mergeCell ref="S408:S415"/>
    <mergeCell ref="T408:T415"/>
    <mergeCell ref="S376:S379"/>
    <mergeCell ref="T376:T379"/>
    <mergeCell ref="U376:U379"/>
    <mergeCell ref="V376:V379"/>
    <mergeCell ref="S350:S355"/>
    <mergeCell ref="T350:T355"/>
    <mergeCell ref="U350:U355"/>
    <mergeCell ref="V350:V355"/>
    <mergeCell ref="S356:S364"/>
    <mergeCell ref="T356:T364"/>
    <mergeCell ref="U356:U364"/>
    <mergeCell ref="V356:V364"/>
    <mergeCell ref="S315:S327"/>
    <mergeCell ref="T315:T327"/>
    <mergeCell ref="U315:U327"/>
    <mergeCell ref="V315:V327"/>
    <mergeCell ref="S328:S331"/>
    <mergeCell ref="T328:T331"/>
    <mergeCell ref="U328:U331"/>
    <mergeCell ref="V328:V331"/>
    <mergeCell ref="S365:S375"/>
    <mergeCell ref="T365:T375"/>
    <mergeCell ref="U365:U375"/>
    <mergeCell ref="V365:V375"/>
    <mergeCell ref="U298:U305"/>
    <mergeCell ref="V298:V305"/>
    <mergeCell ref="S306:S314"/>
    <mergeCell ref="T306:T314"/>
    <mergeCell ref="U306:U314"/>
    <mergeCell ref="V306:V314"/>
    <mergeCell ref="W286:W289"/>
    <mergeCell ref="X286:X289"/>
    <mergeCell ref="S290:S297"/>
    <mergeCell ref="T290:T297"/>
    <mergeCell ref="U290:U297"/>
    <mergeCell ref="V290:V297"/>
    <mergeCell ref="W290:W379"/>
    <mergeCell ref="X290:X379"/>
    <mergeCell ref="S298:S305"/>
    <mergeCell ref="T298:T305"/>
    <mergeCell ref="S332:S340"/>
    <mergeCell ref="T332:T340"/>
    <mergeCell ref="U332:U340"/>
    <mergeCell ref="V332:V340"/>
    <mergeCell ref="S341:S349"/>
    <mergeCell ref="T341:T349"/>
    <mergeCell ref="U341:U349"/>
    <mergeCell ref="V341:V349"/>
    <mergeCell ref="S286:S289"/>
    <mergeCell ref="T286:T289"/>
    <mergeCell ref="U286:U289"/>
    <mergeCell ref="V286:V289"/>
    <mergeCell ref="S277:S279"/>
    <mergeCell ref="T277:T279"/>
    <mergeCell ref="U277:U279"/>
    <mergeCell ref="V277:V279"/>
    <mergeCell ref="S280:S282"/>
    <mergeCell ref="T280:T282"/>
    <mergeCell ref="U280:U282"/>
    <mergeCell ref="V280:V282"/>
    <mergeCell ref="U244:U252"/>
    <mergeCell ref="V244:V252"/>
    <mergeCell ref="S271:S273"/>
    <mergeCell ref="T271:T273"/>
    <mergeCell ref="U271:U273"/>
    <mergeCell ref="V271:V273"/>
    <mergeCell ref="W271:W285"/>
    <mergeCell ref="X271:X285"/>
    <mergeCell ref="S274:S276"/>
    <mergeCell ref="T274:T276"/>
    <mergeCell ref="U274:U276"/>
    <mergeCell ref="V274:V276"/>
    <mergeCell ref="S283:S285"/>
    <mergeCell ref="T283:T285"/>
    <mergeCell ref="U283:U285"/>
    <mergeCell ref="V283:V285"/>
    <mergeCell ref="U194:U197"/>
    <mergeCell ref="V194:V197"/>
    <mergeCell ref="S262:S270"/>
    <mergeCell ref="T262:T270"/>
    <mergeCell ref="U262:U270"/>
    <mergeCell ref="V262:V270"/>
    <mergeCell ref="W262:W270"/>
    <mergeCell ref="X262:X270"/>
    <mergeCell ref="S253:S255"/>
    <mergeCell ref="T253:T255"/>
    <mergeCell ref="U253:U255"/>
    <mergeCell ref="V253:V255"/>
    <mergeCell ref="S256:S261"/>
    <mergeCell ref="T256:T261"/>
    <mergeCell ref="U256:U261"/>
    <mergeCell ref="V256:V261"/>
    <mergeCell ref="W233:W261"/>
    <mergeCell ref="X233:X261"/>
    <mergeCell ref="S238:S243"/>
    <mergeCell ref="T238:T243"/>
    <mergeCell ref="U238:U243"/>
    <mergeCell ref="V238:V243"/>
    <mergeCell ref="S244:S252"/>
    <mergeCell ref="T244:T252"/>
    <mergeCell ref="S233:S237"/>
    <mergeCell ref="T233:T237"/>
    <mergeCell ref="U233:U237"/>
    <mergeCell ref="V233:V237"/>
    <mergeCell ref="S212:S215"/>
    <mergeCell ref="T212:T215"/>
    <mergeCell ref="U212:U215"/>
    <mergeCell ref="V212:V215"/>
    <mergeCell ref="S216:S225"/>
    <mergeCell ref="T216:T225"/>
    <mergeCell ref="U216:U225"/>
    <mergeCell ref="V216:V225"/>
    <mergeCell ref="X194:X232"/>
    <mergeCell ref="S198:S200"/>
    <mergeCell ref="T198:T200"/>
    <mergeCell ref="U198:U200"/>
    <mergeCell ref="V198:V200"/>
    <mergeCell ref="S201:S203"/>
    <mergeCell ref="T201:T203"/>
    <mergeCell ref="U201:U203"/>
    <mergeCell ref="V201:V203"/>
    <mergeCell ref="S204:S208"/>
    <mergeCell ref="T204:T208"/>
    <mergeCell ref="U204:U208"/>
    <mergeCell ref="V204:V208"/>
    <mergeCell ref="S209:S211"/>
    <mergeCell ref="T209:T211"/>
    <mergeCell ref="U209:U211"/>
    <mergeCell ref="V209:V211"/>
    <mergeCell ref="W194:W232"/>
    <mergeCell ref="S226:S232"/>
    <mergeCell ref="T226:T232"/>
    <mergeCell ref="U226:U232"/>
    <mergeCell ref="V226:V232"/>
    <mergeCell ref="S194:S197"/>
    <mergeCell ref="T194:T197"/>
    <mergeCell ref="U184:U187"/>
    <mergeCell ref="V184:V187"/>
    <mergeCell ref="S164:S169"/>
    <mergeCell ref="T164:T169"/>
    <mergeCell ref="U164:U169"/>
    <mergeCell ref="V164:V169"/>
    <mergeCell ref="W164:W179"/>
    <mergeCell ref="X164:X179"/>
    <mergeCell ref="S170:S179"/>
    <mergeCell ref="T170:T179"/>
    <mergeCell ref="U170:U179"/>
    <mergeCell ref="V170:V179"/>
    <mergeCell ref="S180:S183"/>
    <mergeCell ref="T180:T183"/>
    <mergeCell ref="U180:U183"/>
    <mergeCell ref="V180:V183"/>
    <mergeCell ref="W180:W193"/>
    <mergeCell ref="X180:X193"/>
    <mergeCell ref="S184:S187"/>
    <mergeCell ref="T184:T187"/>
    <mergeCell ref="S188:S193"/>
    <mergeCell ref="T188:T193"/>
    <mergeCell ref="U188:U193"/>
    <mergeCell ref="V188:V193"/>
    <mergeCell ref="X149:X163"/>
    <mergeCell ref="S155:S163"/>
    <mergeCell ref="T155:T163"/>
    <mergeCell ref="U155:U163"/>
    <mergeCell ref="V155:V163"/>
    <mergeCell ref="S133:S139"/>
    <mergeCell ref="T133:T139"/>
    <mergeCell ref="U133:U139"/>
    <mergeCell ref="V133:V139"/>
    <mergeCell ref="W133:W148"/>
    <mergeCell ref="X133:X148"/>
    <mergeCell ref="S140:S148"/>
    <mergeCell ref="T140:T148"/>
    <mergeCell ref="U140:U148"/>
    <mergeCell ref="V140:V148"/>
    <mergeCell ref="S149:S154"/>
    <mergeCell ref="T149:T154"/>
    <mergeCell ref="U149:U154"/>
    <mergeCell ref="V149:V154"/>
    <mergeCell ref="W149:W163"/>
    <mergeCell ref="S119:S126"/>
    <mergeCell ref="T119:T126"/>
    <mergeCell ref="U119:U126"/>
    <mergeCell ref="V119:V126"/>
    <mergeCell ref="W119:W132"/>
    <mergeCell ref="X119:X132"/>
    <mergeCell ref="S127:S132"/>
    <mergeCell ref="T127:T132"/>
    <mergeCell ref="U127:U132"/>
    <mergeCell ref="V127:V132"/>
    <mergeCell ref="S107:S113"/>
    <mergeCell ref="T107:T113"/>
    <mergeCell ref="U107:U113"/>
    <mergeCell ref="V107:V113"/>
    <mergeCell ref="W107:W118"/>
    <mergeCell ref="X107:X118"/>
    <mergeCell ref="S114:S118"/>
    <mergeCell ref="T114:T118"/>
    <mergeCell ref="U114:U118"/>
    <mergeCell ref="V114:V118"/>
    <mergeCell ref="V27:V32"/>
    <mergeCell ref="S33:S42"/>
    <mergeCell ref="T33:T42"/>
    <mergeCell ref="U33:U42"/>
    <mergeCell ref="V33:V42"/>
    <mergeCell ref="W85:W106"/>
    <mergeCell ref="X85:X106"/>
    <mergeCell ref="S93:S98"/>
    <mergeCell ref="T93:T98"/>
    <mergeCell ref="U93:U98"/>
    <mergeCell ref="V93:V98"/>
    <mergeCell ref="S99:S106"/>
    <mergeCell ref="T99:T106"/>
    <mergeCell ref="U99:U106"/>
    <mergeCell ref="V99:V106"/>
    <mergeCell ref="S85:S92"/>
    <mergeCell ref="T85:T92"/>
    <mergeCell ref="U85:U92"/>
    <mergeCell ref="V85:V92"/>
    <mergeCell ref="W33:W84"/>
    <mergeCell ref="X33:X84"/>
    <mergeCell ref="S43:S54"/>
    <mergeCell ref="T43:T54"/>
    <mergeCell ref="U43:U54"/>
    <mergeCell ref="V43:V54"/>
    <mergeCell ref="S83:S84"/>
    <mergeCell ref="T83:T84"/>
    <mergeCell ref="U83:U84"/>
    <mergeCell ref="V83:V84"/>
    <mergeCell ref="S55:S71"/>
    <mergeCell ref="T55:T71"/>
    <mergeCell ref="U55:U71"/>
    <mergeCell ref="V55:V71"/>
    <mergeCell ref="S72:S82"/>
    <mergeCell ref="T72:T82"/>
    <mergeCell ref="U72:U82"/>
    <mergeCell ref="V72:V82"/>
    <mergeCell ref="Y5:Y495"/>
    <mergeCell ref="S8:S9"/>
    <mergeCell ref="T8:T9"/>
    <mergeCell ref="U8:U9"/>
    <mergeCell ref="V8:V9"/>
    <mergeCell ref="S10:S21"/>
    <mergeCell ref="T10:T21"/>
    <mergeCell ref="U10:U21"/>
    <mergeCell ref="V10:V21"/>
    <mergeCell ref="W10:W32"/>
    <mergeCell ref="S5:S7"/>
    <mergeCell ref="T5:T7"/>
    <mergeCell ref="U5:U7"/>
    <mergeCell ref="V5:V7"/>
    <mergeCell ref="W5:W9"/>
    <mergeCell ref="X5:X9"/>
    <mergeCell ref="X10:X32"/>
    <mergeCell ref="S22:S26"/>
    <mergeCell ref="T22:T26"/>
    <mergeCell ref="U22:U26"/>
    <mergeCell ref="V22:V26"/>
    <mergeCell ref="S27:S32"/>
    <mergeCell ref="T27:T32"/>
    <mergeCell ref="U27:U32"/>
  </mergeCells>
  <phoneticPr fontId="9" type="noConversion"/>
  <dataValidations count="9">
    <dataValidation type="list" allowBlank="1" showInputMessage="1" showErrorMessage="1" sqref="O170:O175 O41:O42 O44:O45 O50:O51 O68:O69 O74:O75 O89:O90 O93:O94 O100:O101 O108:O109 O115:O116 O120:O121 O127:O132 O135:O136 O140:O143 O145:O146 O151:O152 O481:O484 O475:O476 O469:O470 O461:O462 O456:O457 O453:O454 O430:O431 O422:O423 O413:O414 O406:O407 O391:O392 O381:O382 O374:O375 O178:O179 O181:O182 O185:O186 O192:O193 O199:O200 O202:O203 O206:O207 O210:O211 O213:O214 O224:O225 O227:O228 O231:O232 O234:O235 O247:O248 O250:O251 O254:O255 O257:O258 O260:O261 O263:O264 O272:O273 O275:O276 O278:O279 O281:O282 O284:O285 O288:O289 O292:O293 O304:O305 O313:O314 O326:O327 O330:O331 O339:O340 O348:O349 O353:O354 O363:O364 O155:O158 O160:O161 O166:O167 O20:O32 O12:O13" xr:uid="{84F72228-0CBE-4E43-95D8-735361C22FAB}">
      <formula1>"0,1,2,3,Non concerné"</formula1>
    </dataValidation>
    <dataValidation type="list" allowBlank="1" showInputMessage="1" showErrorMessage="1" sqref="O58" xr:uid="{8247B7FB-0F40-48C2-A305-443AB141266F}">
      <formula1>"24H/24,Entre 16 et 24H/J,Entre 12 et 16H/J,Moins de 12H/J,Non concerné"</formula1>
    </dataValidation>
    <dataValidation type="list" allowBlank="1" showInputMessage="1" showErrorMessage="1" sqref="O310" xr:uid="{BAD0E72A-8FC2-47E3-9C9B-7F0B92AEE422}">
      <formula1>"4CB+2CP,3CB+2CP,3CB,2CB,Pas de cintres,Non concerné"</formula1>
    </dataValidation>
    <dataValidation type="list" allowBlank="1" showInputMessage="1" showErrorMessage="1" sqref="O290" xr:uid="{212A3CFB-8CF0-45EA-AE4A-AEBA7B128A4F}">
      <formula1>"Min. 35m²,Min. 25m²,Min. 20m²,Min. 15m²,Min. 10m²,Moins de 10m²,Non concerné"</formula1>
    </dataValidation>
    <dataValidation type="list" allowBlank="1" showInputMessage="1" showErrorMessage="1" sqref="O165" xr:uid="{6CC58365-30D8-43AC-BD37-6C8F1C2A1327}">
      <formula1>"1m²/lit et plus,Entre 0,8m² et 1m²/lit,Entre 0,3m² et 0,8m²/lit,Moins de 0,3m²/lit,Pas de bar,Non concerné"</formula1>
    </dataValidation>
    <dataValidation type="list" allowBlank="1" showInputMessage="1" showErrorMessage="1" sqref="O134 O150" xr:uid="{1C2CD444-4623-4D46-9A56-E307187CA202}">
      <formula1>"2m² par lit et plus,Entre 1m² et 2m² par lit,Entre 0,5m² et 1m² par lit,moins de 0,5m² par lit,Pas de restaurant,Non concerné"</formula1>
    </dataValidation>
    <dataValidation type="list" allowBlank="1" showInputMessage="1" showErrorMessage="1" sqref="O11" xr:uid="{571BCE28-EBD2-497F-9A79-E658D5FAC9BE}">
      <formula1>"1/5 max 50,1/8 max 40,1/10 max 20, Pas de Pkg,Non concerné"</formula1>
    </dataValidation>
    <dataValidation type="list" allowBlank="1" showInputMessage="1" showErrorMessage="1" sqref="O5:O10 O168:O169 O117:O119 O133 O147:O149 O365:O373 O315:O325 O52:O57 O176:O177 O43 O46:O49 O59:O67 O70:O73 O76:O88 O91:O92 O95:O99 O102:O107 O110:O114 O122:O126 O137:O139 O144 O153:O154 O485:O495 O477:O480 O471:O474 O463:O468 O458:O460 O455 O432:O452 O424:O429 O415:O421 O408:O412 O393:O405 O383:O390 O376:O380 O159 O294:O303 O162:O164 O355:O362 O350:O352 O341:O347 O332:O338 O328:O329 O311:O312 O306:O309 O291 O286:O287 O283 O280 O277 O274 O265:O271 O262 O259 O256 O252:O253 O249 O236:O246 O233 O229:O230 O226 O215:O223 O212 O208:O209 O204:O205 O201 O194:O198 O187:O191 O183:O184 O180 O33:O40 O14:O19" xr:uid="{C0035892-D1BA-4460-A44B-AFABD01087CB}">
      <formula1>"0,1,Non concerné"</formula1>
    </dataValidation>
    <dataValidation allowBlank="1" showInputMessage="1" showErrorMessage="1" prompt="_x000a_" sqref="Y5:Y495" xr:uid="{B9ABDFAC-C5D5-414D-AE30-534A027A4329}"/>
  </dataValidations>
  <pageMargins left="0.7" right="0.7" top="0.75" bottom="0.75" header="0.3" footer="0.3"/>
  <pageSetup paperSize="9" orientation="landscape" horizontalDpi="4294967292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5AE2-2188-4D93-B271-C1305D5D6E2D}">
  <sheetPr codeName="Feuil38"/>
  <dimension ref="A1:Y214"/>
  <sheetViews>
    <sheetView showGridLines="0" topLeftCell="K1" zoomScaleNormal="100" workbookViewId="0">
      <selection activeCell="F5" sqref="F5"/>
    </sheetView>
  </sheetViews>
  <sheetFormatPr baseColWidth="10" defaultColWidth="11.6640625" defaultRowHeight="12.6" x14ac:dyDescent="0.3"/>
  <cols>
    <col min="1" max="2" width="31.109375" style="8" customWidth="1"/>
    <col min="3" max="3" width="14.77734375" style="10" customWidth="1"/>
    <col min="4" max="5" width="11.6640625" style="10" customWidth="1"/>
    <col min="6" max="6" width="14.109375" style="11" bestFit="1" customWidth="1"/>
    <col min="7" max="9" width="11.6640625" style="10" customWidth="1"/>
    <col min="10" max="10" width="14.109375" style="10" bestFit="1" customWidth="1"/>
    <col min="11" max="11" width="15.109375" style="10" customWidth="1"/>
    <col min="12" max="12" width="20" style="10" customWidth="1"/>
    <col min="13" max="13" width="14.109375" style="8" bestFit="1" customWidth="1"/>
    <col min="14" max="15" width="12.6640625" style="12" bestFit="1" customWidth="1"/>
    <col min="16" max="17" width="14.109375" style="12" bestFit="1" customWidth="1"/>
    <col min="18" max="18" width="11.109375" style="13" customWidth="1"/>
    <col min="19" max="21" width="14.77734375" style="14" bestFit="1" customWidth="1"/>
    <col min="22" max="23" width="14.77734375" style="78" bestFit="1" customWidth="1"/>
    <col min="24" max="24" width="14.88671875" style="78" bestFit="1" customWidth="1"/>
    <col min="25" max="16384" width="11.6640625" style="8"/>
  </cols>
  <sheetData>
    <row r="1" spans="1:25" s="69" customFormat="1" ht="50.4" x14ac:dyDescent="0.3">
      <c r="A1" s="64" t="s">
        <v>778</v>
      </c>
      <c r="B1" s="64" t="s">
        <v>779</v>
      </c>
      <c r="C1" s="65" t="s">
        <v>780</v>
      </c>
      <c r="D1" s="65" t="s">
        <v>781</v>
      </c>
      <c r="E1" s="65" t="s">
        <v>782</v>
      </c>
      <c r="F1" s="66" t="s">
        <v>783</v>
      </c>
      <c r="G1" s="65" t="s">
        <v>784</v>
      </c>
      <c r="H1" s="65" t="s">
        <v>785</v>
      </c>
      <c r="I1" s="65" t="s">
        <v>782</v>
      </c>
      <c r="J1" s="65" t="s">
        <v>786</v>
      </c>
      <c r="K1" s="65" t="s">
        <v>787</v>
      </c>
      <c r="L1" s="65" t="s">
        <v>788</v>
      </c>
      <c r="M1" s="65" t="s">
        <v>789</v>
      </c>
      <c r="N1" s="66" t="s">
        <v>790</v>
      </c>
      <c r="O1" s="66" t="s">
        <v>791</v>
      </c>
      <c r="P1" s="66" t="s">
        <v>792</v>
      </c>
      <c r="Q1" s="66" t="s">
        <v>793</v>
      </c>
      <c r="R1" s="67" t="s">
        <v>794</v>
      </c>
      <c r="S1" s="68" t="s">
        <v>795</v>
      </c>
      <c r="T1" s="68" t="s">
        <v>796</v>
      </c>
      <c r="U1" s="68" t="s">
        <v>797</v>
      </c>
      <c r="V1" s="68" t="s">
        <v>798</v>
      </c>
      <c r="W1" s="68" t="s">
        <v>799</v>
      </c>
      <c r="X1" s="68" t="s">
        <v>800</v>
      </c>
    </row>
    <row r="2" spans="1:25" s="69" customFormat="1" ht="25.2" x14ac:dyDescent="0.3">
      <c r="A2" s="4"/>
      <c r="B2" s="4" t="s">
        <v>646</v>
      </c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6"/>
      <c r="O2" s="6"/>
      <c r="P2" s="6"/>
      <c r="Q2" s="6"/>
      <c r="R2" s="70">
        <v>1</v>
      </c>
      <c r="S2" s="7">
        <f ca="1">IF(SUMIF($A:$A,$A3,O:O)&gt;0,R2/SUM($R:$R),O3)</f>
        <v>0</v>
      </c>
      <c r="T2" s="7">
        <f ca="1">IFERROR(S2/SUM(S:S),S2)</f>
        <v>0</v>
      </c>
      <c r="U2" s="7">
        <f ca="1">IFERROR(T2*O3,O3)</f>
        <v>0</v>
      </c>
      <c r="V2" s="7" t="str">
        <f>IF(SUMIF($A:$A,$A3,Q:Q)&gt;0,R2/SUM(R:R),Q3)</f>
        <v>Non appliqué</v>
      </c>
      <c r="W2" s="7" t="str">
        <f ca="1">IFERROR(V2/SUM(V:V),V2)</f>
        <v>Non appliqué</v>
      </c>
      <c r="X2" s="7" t="str">
        <f ca="1">IFERROR(W2*Q3,W2)</f>
        <v>Non appliqué</v>
      </c>
    </row>
    <row r="3" spans="1:25" x14ac:dyDescent="0.3">
      <c r="A3" s="64" t="s">
        <v>646</v>
      </c>
      <c r="B3" s="64" t="s">
        <v>648</v>
      </c>
      <c r="C3" s="71">
        <f>SUMIFS(Grille!R:R,Grille!A:A,Grille_HT5!A3,Grille!C:C,Grille_HT5!B3,Grille!G:G,"Majeur")</f>
        <v>9</v>
      </c>
      <c r="D3" s="71">
        <f ca="1">SUMIFS(Grille!Q:Q,Grille!A:A,Grille_HT5!A3,Grille!C:C,Grille_HT5!B3,Grille!G:G,"Majeur")</f>
        <v>9</v>
      </c>
      <c r="E3" s="71">
        <f ca="1">SUMIFS(Grille!N:N,Grille!A:A,Grille_HT5!A3,Grille!C:C,Grille_HT5!B3,Grille!G:G,"Majeur")</f>
        <v>0</v>
      </c>
      <c r="F3" s="72">
        <f ca="1">IF(C3=0,"Non appliqué",IF(D3=0,"Non concerné",E3/D3))</f>
        <v>0</v>
      </c>
      <c r="G3" s="71">
        <f>SUMIFS(Grille!R:R,Grille!A:A,Grille_HT5!A3,Grille!C:C,Grille_HT5!B3,Grille!G:G,"Mineur")</f>
        <v>0</v>
      </c>
      <c r="H3" s="71">
        <f>SUMIFS(Grille!Q:Q,Grille!A:A,Grille_HT5!A3,Grille!C:C,Grille_HT5!B3,Grille!G:G,"Mineur")</f>
        <v>0</v>
      </c>
      <c r="I3" s="71">
        <f>SUMIFS(Grille!N:N,Grille!A:A,Grille_HT5!A3,Grille!C:C,Grille_HT5!B3,Grille!G:G,"Mineur")</f>
        <v>0</v>
      </c>
      <c r="J3" s="72" t="str">
        <f>IF(G3=0,"Non appliqué",IF(H3=0,"Non concerné",I3/H3))</f>
        <v>Non appliqué</v>
      </c>
      <c r="K3" s="71">
        <v>40</v>
      </c>
      <c r="L3" s="73">
        <f ca="1">IF(D3&gt;0,K3/SUMIFS(K:K,A:A,A3,D:D,"&gt;0"),F3)</f>
        <v>0.4</v>
      </c>
      <c r="M3" s="73" t="str">
        <f>IF(H3&gt;0,K3/SUMIFS(K:K,A:A,A3,H:H,"&gt;0"),J3)</f>
        <v>Non appliqué</v>
      </c>
      <c r="N3" s="73">
        <f ca="1">IF(ISNUMBER(F3),F3*L3,F3)</f>
        <v>0</v>
      </c>
      <c r="O3" s="73">
        <f ca="1">IF(SUMIFS(C:C,A:A,A3)=0,"Non appliqué",IF(SUMIFS(D:D,A:A,A3)&gt;=0,SUMIFS(N:N,A:A,A3),"Non concerné"))</f>
        <v>0</v>
      </c>
      <c r="P3" s="73" t="str">
        <f>IF(ISNUMBER(J3),J3*M3,J3)</f>
        <v>Non appliqué</v>
      </c>
      <c r="Q3" s="73" t="str">
        <f>IF(SUMIFS(G:G,A:A,A3)=0,"Non appliqué",IF(SUMIFS(H:H,A:A,A3)&gt;=0,SUMIFS(P:P,A:A,A3),"Non concerné"))</f>
        <v>Non appliqué</v>
      </c>
      <c r="R3" s="74"/>
      <c r="S3" s="75"/>
      <c r="T3" s="75"/>
      <c r="U3" s="75"/>
      <c r="V3" s="76"/>
      <c r="W3" s="76"/>
      <c r="X3" s="76"/>
      <c r="Y3" s="134">
        <v>1</v>
      </c>
    </row>
    <row r="4" spans="1:25" x14ac:dyDescent="0.3">
      <c r="A4" s="64" t="s">
        <v>646</v>
      </c>
      <c r="B4" s="64" t="s">
        <v>652</v>
      </c>
      <c r="C4" s="71">
        <f>SUMIFS(Grille!R:R,Grille!A:A,Grille_HT5!A4,Grille!C:C,Grille_HT5!B4,Grille!G:G,"Majeur")</f>
        <v>5</v>
      </c>
      <c r="D4" s="71">
        <f ca="1">SUMIFS(Grille!Q:Q,Grille!A:A,Grille_HT5!A4,Grille!C:C,Grille_HT5!B4,Grille!G:G,"Majeur")</f>
        <v>5</v>
      </c>
      <c r="E4" s="71">
        <f ca="1">SUMIFS(Grille!N:N,Grille!A:A,Grille_HT5!A4,Grille!C:C,Grille_HT5!B4,Grille!G:G,"Majeur")</f>
        <v>0</v>
      </c>
      <c r="F4" s="72">
        <f t="shared" ref="F4:F67" ca="1" si="0">IF(C4=0,"Non appliqué",IF(D4=0,"Non concerné",E4/D4))</f>
        <v>0</v>
      </c>
      <c r="G4" s="71">
        <f>SUMIFS(Grille!R:R,Grille!A:A,Grille_HT5!A4,Grille!C:C,Grille_HT5!B4,Grille!G:G,"Mineur")</f>
        <v>0</v>
      </c>
      <c r="H4" s="71">
        <f>SUMIFS(Grille!Q:Q,Grille!A:A,Grille_HT5!A4,Grille!C:C,Grille_HT5!B4,Grille!G:G,"Mineur")</f>
        <v>0</v>
      </c>
      <c r="I4" s="71">
        <f>SUMIFS(Grille!N:N,Grille!A:A,Grille_HT5!A4,Grille!C:C,Grille_HT5!B4,Grille!G:G,"Mineur")</f>
        <v>0</v>
      </c>
      <c r="J4" s="72" t="str">
        <f t="shared" ref="J4:J67" si="1">IF(G4=0,"Non appliqué",IF(H4=0,"Non concerné",I4/H4))</f>
        <v>Non appliqué</v>
      </c>
      <c r="K4" s="71">
        <v>60</v>
      </c>
      <c r="L4" s="73">
        <f t="shared" ref="L4:L67" ca="1" si="2">IF(D4&gt;0,K4/SUMIFS(K:K,A:A,A4,D:D,"&gt;0"),F4)</f>
        <v>0.6</v>
      </c>
      <c r="M4" s="73" t="str">
        <f t="shared" ref="M4:M67" si="3">IF(H4&gt;0,K4/SUMIFS(K:K,A:A,A4,H:H,"&gt;0"),J4)</f>
        <v>Non appliqué</v>
      </c>
      <c r="N4" s="73">
        <f ca="1">IF(ISNUMBER(F4),F4*L4,F4)</f>
        <v>0</v>
      </c>
      <c r="O4" s="73">
        <f t="shared" ref="O4:O67" ca="1" si="4">IF(SUMIFS(C:C,A:A,A4)=0,"Non appliqué",IF(SUMIFS(D:D,A:A,A4)&gt;=0,SUMIFS(N:N,A:A,A4),"Non concerné"))</f>
        <v>0</v>
      </c>
      <c r="P4" s="73" t="str">
        <f>IF(ISNUMBER(J4),J4*M4,J4)</f>
        <v>Non appliqué</v>
      </c>
      <c r="Q4" s="73" t="str">
        <f t="shared" ref="Q4:Q67" si="5">IF(SUMIFS(G:G,A:A,A4)=0,"Non appliqué",IF(SUMIFS(H:H,A:A,A4)&gt;=0,SUMIFS(P:P,A:A,A4),"Non concerné"))</f>
        <v>Non appliqué</v>
      </c>
      <c r="R4" s="77"/>
      <c r="S4" s="75"/>
      <c r="T4" s="75"/>
      <c r="U4" s="75" t="str">
        <f>IF(O5&gt;0,T4*O5,"")</f>
        <v/>
      </c>
      <c r="V4" s="76"/>
      <c r="W4" s="76"/>
      <c r="X4" s="76"/>
      <c r="Y4" s="134">
        <f>Y3+1</f>
        <v>2</v>
      </c>
    </row>
    <row r="5" spans="1:25" s="69" customFormat="1" x14ac:dyDescent="0.3">
      <c r="A5" s="4"/>
      <c r="B5" s="4" t="s">
        <v>653</v>
      </c>
      <c r="C5" s="5"/>
      <c r="D5" s="5"/>
      <c r="E5" s="5"/>
      <c r="F5" s="5"/>
      <c r="G5" s="9"/>
      <c r="H5" s="9"/>
      <c r="I5" s="9"/>
      <c r="J5" s="6"/>
      <c r="K5" s="5"/>
      <c r="L5" s="5"/>
      <c r="M5" s="5"/>
      <c r="N5" s="6"/>
      <c r="O5" s="6"/>
      <c r="P5" s="6"/>
      <c r="Q5" s="6"/>
      <c r="R5" s="70">
        <v>4</v>
      </c>
      <c r="S5" s="7">
        <f t="shared" ref="S5:S63" ca="1" si="6">IF(SUMIF($A:$A,$A6,D:D)&gt;0,R5/SUM($R:$R),O6)</f>
        <v>0.04</v>
      </c>
      <c r="T5" s="7">
        <f ca="1">IFERROR(S5/SUM(S:S),S5)</f>
        <v>4.7058823529411764E-2</v>
      </c>
      <c r="U5" s="7">
        <f ca="1">IFERROR(T5*O6,T5)</f>
        <v>0</v>
      </c>
      <c r="V5" s="7">
        <f t="shared" ref="V5:V63" ca="1" si="7">IF(SUMIF($A:$A,$A6,H:H)&gt;0,R5/SUM(R:R),Q6)</f>
        <v>0.04</v>
      </c>
      <c r="W5" s="7">
        <f ca="1">IFERROR(V5/SUM(V:V),V5)</f>
        <v>4.0404040404040407E-2</v>
      </c>
      <c r="X5" s="7">
        <f ca="1">IFERROR(W5*Q6,W5)</f>
        <v>0</v>
      </c>
      <c r="Y5" s="134"/>
    </row>
    <row r="6" spans="1:25" x14ac:dyDescent="0.3">
      <c r="A6" s="64" t="s">
        <v>653</v>
      </c>
      <c r="B6" s="64" t="s">
        <v>654</v>
      </c>
      <c r="C6" s="71">
        <f>SUMIFS(Grille!R:R,Grille!A:A,Grille_HT5!A6,Grille!C:C,Grille_HT5!B6,Grille!G:G,"Majeur")</f>
        <v>33</v>
      </c>
      <c r="D6" s="71">
        <f ca="1">SUMIFS(Grille!Q:Q,Grille!A:A,Grille_HT5!A6,Grille!C:C,Grille_HT5!B6,Grille!G:G,"Majeur")</f>
        <v>33</v>
      </c>
      <c r="E6" s="71">
        <f ca="1">SUMIFS(Grille!N:N,Grille!A:A,Grille_HT5!A6,Grille!C:C,Grille_HT5!B6,Grille!G:G,"Majeur")</f>
        <v>0</v>
      </c>
      <c r="F6" s="72">
        <f t="shared" ca="1" si="0"/>
        <v>0</v>
      </c>
      <c r="G6" s="71">
        <f>SUMIFS(Grille!R:R,Grille!A:A,Grille_HT5!A6,Grille!C:C,Grille_HT5!B6,Grille!G:G,"Mineur")</f>
        <v>3</v>
      </c>
      <c r="H6" s="71">
        <f ca="1">SUMIFS(Grille!Q:Q,Grille!A:A,Grille_HT5!A6,Grille!C:C,Grille_HT5!B6,Grille!G:G,"Mineur")</f>
        <v>3</v>
      </c>
      <c r="I6" s="71">
        <f ca="1">SUMIFS(Grille!N:N,Grille!A:A,Grille_HT5!A6,Grille!C:C,Grille_HT5!B6,Grille!G:G,"Mineur")</f>
        <v>0</v>
      </c>
      <c r="J6" s="72">
        <f t="shared" ca="1" si="1"/>
        <v>0</v>
      </c>
      <c r="K6" s="71">
        <v>40</v>
      </c>
      <c r="L6" s="73">
        <f t="shared" ca="1" si="2"/>
        <v>0.4</v>
      </c>
      <c r="M6" s="73">
        <f t="shared" ca="1" si="3"/>
        <v>0.66666666666666663</v>
      </c>
      <c r="N6" s="73">
        <f ca="1">IF(ISNUMBER(F6),F6*L6,F6)</f>
        <v>0</v>
      </c>
      <c r="O6" s="73">
        <f t="shared" ca="1" si="4"/>
        <v>0</v>
      </c>
      <c r="P6" s="73">
        <f ca="1">IF(ISNUMBER(J6),J6*M6,J6)</f>
        <v>0</v>
      </c>
      <c r="Q6" s="73">
        <f t="shared" ca="1" si="5"/>
        <v>0</v>
      </c>
      <c r="R6" s="77"/>
      <c r="S6" s="75"/>
      <c r="T6" s="75"/>
      <c r="U6" s="75"/>
      <c r="V6" s="76"/>
      <c r="W6" s="76"/>
      <c r="X6" s="76"/>
      <c r="Y6" s="134">
        <v>3</v>
      </c>
    </row>
    <row r="7" spans="1:25" x14ac:dyDescent="0.3">
      <c r="A7" s="64" t="s">
        <v>653</v>
      </c>
      <c r="B7" s="64" t="s">
        <v>657</v>
      </c>
      <c r="C7" s="71">
        <f>SUMIFS(Grille!R:R,Grille!A:A,Grille_HT5!A7,Grille!C:C,Grille_HT5!B7,Grille!G:G,"Majeur")</f>
        <v>3</v>
      </c>
      <c r="D7" s="71">
        <f ca="1">SUMIFS(Grille!Q:Q,Grille!A:A,Grille_HT5!A7,Grille!C:C,Grille_HT5!B7,Grille!G:G,"Majeur")</f>
        <v>3</v>
      </c>
      <c r="E7" s="71">
        <f ca="1">SUMIFS(Grille!N:N,Grille!A:A,Grille_HT5!A7,Grille!C:C,Grille_HT5!B7,Grille!G:G,"Majeur")</f>
        <v>0</v>
      </c>
      <c r="F7" s="72">
        <f t="shared" ca="1" si="0"/>
        <v>0</v>
      </c>
      <c r="G7" s="71">
        <f>SUMIFS(Grille!R:R,Grille!A:A,Grille_HT5!A7,Grille!C:C,Grille_HT5!B7,Grille!G:G,"Mineur")</f>
        <v>11</v>
      </c>
      <c r="H7" s="71">
        <f ca="1">SUMIFS(Grille!Q:Q,Grille!A:A,Grille_HT5!A7,Grille!C:C,Grille_HT5!B7,Grille!G:G,"Mineur")</f>
        <v>11</v>
      </c>
      <c r="I7" s="71">
        <f ca="1">SUMIFS(Grille!N:N,Grille!A:A,Grille_HT5!A7,Grille!C:C,Grille_HT5!B7,Grille!G:G,"Mineur")</f>
        <v>0</v>
      </c>
      <c r="J7" s="72">
        <f t="shared" ca="1" si="1"/>
        <v>0</v>
      </c>
      <c r="K7" s="71">
        <v>20</v>
      </c>
      <c r="L7" s="73">
        <f t="shared" ca="1" si="2"/>
        <v>0.2</v>
      </c>
      <c r="M7" s="73">
        <f t="shared" ca="1" si="3"/>
        <v>0.33333333333333331</v>
      </c>
      <c r="N7" s="73">
        <f ca="1">IF(ISNUMBER(F7),F7*L7,F7)</f>
        <v>0</v>
      </c>
      <c r="O7" s="73">
        <f t="shared" ca="1" si="4"/>
        <v>0</v>
      </c>
      <c r="P7" s="73">
        <f ca="1">IF(ISNUMBER(J7),J7*M7,J7)</f>
        <v>0</v>
      </c>
      <c r="Q7" s="73">
        <f t="shared" ca="1" si="5"/>
        <v>0</v>
      </c>
      <c r="R7" s="77"/>
      <c r="S7" s="75"/>
      <c r="T7" s="75"/>
      <c r="U7" s="75"/>
      <c r="V7" s="76"/>
      <c r="W7" s="76"/>
      <c r="X7" s="76"/>
      <c r="Y7" s="134">
        <f t="shared" ref="Y7:Y68" si="8">Y6+1</f>
        <v>4</v>
      </c>
    </row>
    <row r="8" spans="1:25" x14ac:dyDescent="0.3">
      <c r="A8" s="64" t="s">
        <v>653</v>
      </c>
      <c r="B8" s="64" t="s">
        <v>658</v>
      </c>
      <c r="C8" s="71">
        <f>SUMIFS(Grille!R:R,Grille!A:A,Grille_HT5!A8,Grille!C:C,Grille_HT5!B8,Grille!G:G,"Majeur")</f>
        <v>15</v>
      </c>
      <c r="D8" s="71">
        <f ca="1">SUMIFS(Grille!Q:Q,Grille!A:A,Grille_HT5!A8,Grille!C:C,Grille_HT5!B8,Grille!G:G,"Majeur")</f>
        <v>15</v>
      </c>
      <c r="E8" s="71">
        <f ca="1">SUMIFS(Grille!N:N,Grille!A:A,Grille_HT5!A8,Grille!C:C,Grille_HT5!B8,Grille!G:G,"Majeur")</f>
        <v>0</v>
      </c>
      <c r="F8" s="72">
        <f t="shared" ca="1" si="0"/>
        <v>0</v>
      </c>
      <c r="G8" s="71">
        <f>SUMIFS(Grille!R:R,Grille!A:A,Grille_HT5!A8,Grille!C:C,Grille_HT5!B8,Grille!G:G,"Mineur")</f>
        <v>0</v>
      </c>
      <c r="H8" s="71">
        <f>SUMIFS(Grille!Q:Q,Grille!A:A,Grille_HT5!A8,Grille!C:C,Grille_HT5!B8,Grille!G:G,"Mineur")</f>
        <v>0</v>
      </c>
      <c r="I8" s="71">
        <f>SUMIFS(Grille!N:N,Grille!A:A,Grille_HT5!A8,Grille!C:C,Grille_HT5!B8,Grille!G:G,"Mineur")</f>
        <v>0</v>
      </c>
      <c r="J8" s="72" t="str">
        <f t="shared" si="1"/>
        <v>Non appliqué</v>
      </c>
      <c r="K8" s="71">
        <v>40</v>
      </c>
      <c r="L8" s="73">
        <f t="shared" ca="1" si="2"/>
        <v>0.4</v>
      </c>
      <c r="M8" s="73" t="str">
        <f t="shared" si="3"/>
        <v>Non appliqué</v>
      </c>
      <c r="N8" s="73">
        <f ca="1">IF(ISNUMBER(F8),F8*L8,F8)</f>
        <v>0</v>
      </c>
      <c r="O8" s="73">
        <f t="shared" ca="1" si="4"/>
        <v>0</v>
      </c>
      <c r="P8" s="73" t="str">
        <f>IF(ISNUMBER(J8),J8*M8,J8)</f>
        <v>Non appliqué</v>
      </c>
      <c r="Q8" s="73">
        <f t="shared" ca="1" si="5"/>
        <v>0</v>
      </c>
      <c r="R8" s="77"/>
      <c r="S8" s="75"/>
      <c r="T8" s="75"/>
      <c r="U8" s="75"/>
      <c r="V8" s="76"/>
      <c r="W8" s="76"/>
      <c r="X8" s="76"/>
      <c r="Y8" s="134">
        <f t="shared" si="8"/>
        <v>5</v>
      </c>
    </row>
    <row r="9" spans="1:25" x14ac:dyDescent="0.3">
      <c r="A9" s="4"/>
      <c r="B9" s="4" t="str">
        <f>A10</f>
        <v>Accueil et réception</v>
      </c>
      <c r="C9" s="5"/>
      <c r="D9" s="5"/>
      <c r="E9" s="5"/>
      <c r="F9" s="5"/>
      <c r="G9" s="9"/>
      <c r="H9" s="9"/>
      <c r="I9" s="9"/>
      <c r="J9" s="6"/>
      <c r="K9" s="5"/>
      <c r="L9" s="5"/>
      <c r="M9" s="5"/>
      <c r="N9" s="6"/>
      <c r="O9" s="6"/>
      <c r="P9" s="6"/>
      <c r="Q9" s="6"/>
      <c r="R9" s="70">
        <v>8</v>
      </c>
      <c r="S9" s="7">
        <f t="shared" ca="1" si="6"/>
        <v>0.08</v>
      </c>
      <c r="T9" s="7">
        <f ca="1">IFERROR(S9/SUM(S:S),S9)</f>
        <v>9.4117647058823528E-2</v>
      </c>
      <c r="U9" s="7">
        <f ca="1">IFERROR(T9*O10,T9)</f>
        <v>0</v>
      </c>
      <c r="V9" s="7">
        <f t="shared" ca="1" si="7"/>
        <v>0.08</v>
      </c>
      <c r="W9" s="7">
        <f ca="1">IFERROR(V9/SUM(V:V),V9)</f>
        <v>8.0808080808080815E-2</v>
      </c>
      <c r="X9" s="7">
        <f ca="1">IFERROR(W9*Q10,W9)</f>
        <v>0</v>
      </c>
      <c r="Y9" s="134"/>
    </row>
    <row r="10" spans="1:25" x14ac:dyDescent="0.3">
      <c r="A10" s="65" t="s">
        <v>659</v>
      </c>
      <c r="B10" s="65" t="s">
        <v>661</v>
      </c>
      <c r="C10" s="71">
        <f>SUMIFS(Grille!R:R,Grille!A:A,Grille_HT5!A10,Grille!C:C,Grille_HT5!B10,Grille!G:G,"Majeur")</f>
        <v>40</v>
      </c>
      <c r="D10" s="71">
        <f ca="1">SUMIFS(Grille!Q:Q,Grille!A:A,Grille_HT5!A10,Grille!C:C,Grille_HT5!B10,Grille!G:G,"Majeur")</f>
        <v>40</v>
      </c>
      <c r="E10" s="71">
        <f ca="1">SUMIFS(Grille!N:N,Grille!A:A,Grille_HT5!A10,Grille!C:C,Grille_HT5!B10,Grille!G:G,"Majeur")</f>
        <v>0</v>
      </c>
      <c r="F10" s="72">
        <f t="shared" ca="1" si="0"/>
        <v>0</v>
      </c>
      <c r="G10" s="71">
        <f>SUMIFS(Grille!R:R,Grille!A:A,Grille_HT5!A10,Grille!C:C,Grille_HT5!B10,Grille!G:G,"Mineur")</f>
        <v>0</v>
      </c>
      <c r="H10" s="71">
        <f>SUMIFS(Grille!Q:Q,Grille!A:A,Grille_HT5!A10,Grille!C:C,Grille_HT5!B10,Grille!G:G,"Mineur")</f>
        <v>0</v>
      </c>
      <c r="I10" s="71">
        <f>SUMIFS(Grille!N:N,Grille!A:A,Grille_HT5!A10,Grille!C:C,Grille_HT5!B10,Grille!G:G,"Mineur")</f>
        <v>0</v>
      </c>
      <c r="J10" s="72" t="str">
        <f t="shared" si="1"/>
        <v>Non appliqué</v>
      </c>
      <c r="K10" s="71">
        <v>10</v>
      </c>
      <c r="L10" s="73">
        <f t="shared" ca="1" si="2"/>
        <v>0.1</v>
      </c>
      <c r="M10" s="73" t="str">
        <f t="shared" si="3"/>
        <v>Non appliqué</v>
      </c>
      <c r="N10" s="73">
        <f ca="1">IF(ISNUMBER(F10),F10*L10,F10)</f>
        <v>0</v>
      </c>
      <c r="O10" s="73">
        <f t="shared" ca="1" si="4"/>
        <v>0</v>
      </c>
      <c r="P10" s="73" t="str">
        <f>IF(ISNUMBER(J10),J10*M10,J10)</f>
        <v>Non appliqué</v>
      </c>
      <c r="Q10" s="73">
        <f t="shared" ca="1" si="5"/>
        <v>0</v>
      </c>
      <c r="R10" s="77"/>
      <c r="S10" s="75"/>
      <c r="T10" s="75"/>
      <c r="U10" s="75"/>
      <c r="V10" s="76"/>
      <c r="W10" s="76"/>
      <c r="X10" s="76"/>
      <c r="Y10" s="134">
        <v>6</v>
      </c>
    </row>
    <row r="11" spans="1:25" x14ac:dyDescent="0.3">
      <c r="A11" s="64" t="s">
        <v>659</v>
      </c>
      <c r="B11" s="65" t="s">
        <v>662</v>
      </c>
      <c r="C11" s="71">
        <f>SUMIFS(Grille!R:R,Grille!A:A,Grille_HT5!A11,Grille!C:C,Grille_HT5!B11,Grille!G:G,"Majeur")</f>
        <v>36</v>
      </c>
      <c r="D11" s="71">
        <f ca="1">SUMIFS(Grille!Q:Q,Grille!A:A,Grille_HT5!A11,Grille!C:C,Grille_HT5!B11,Grille!G:G,"Majeur")</f>
        <v>36</v>
      </c>
      <c r="E11" s="71">
        <f ca="1">SUMIFS(Grille!N:N,Grille!A:A,Grille_HT5!A11,Grille!C:C,Grille_HT5!B11,Grille!G:G,"Majeur")</f>
        <v>0</v>
      </c>
      <c r="F11" s="72">
        <f t="shared" ca="1" si="0"/>
        <v>0</v>
      </c>
      <c r="G11" s="71">
        <f>SUMIFS(Grille!R:R,Grille!A:A,Grille_HT5!A11,Grille!C:C,Grille_HT5!B11,Grille!G:G,"Mineur")</f>
        <v>3</v>
      </c>
      <c r="H11" s="71">
        <f ca="1">SUMIFS(Grille!Q:Q,Grille!A:A,Grille_HT5!A11,Grille!C:C,Grille_HT5!B11,Grille!G:G,"Mineur")</f>
        <v>3</v>
      </c>
      <c r="I11" s="71">
        <f ca="1">SUMIFS(Grille!N:N,Grille!A:A,Grille_HT5!A11,Grille!C:C,Grille_HT5!B11,Grille!G:G,"Mineur")</f>
        <v>0</v>
      </c>
      <c r="J11" s="72">
        <f t="shared" ca="1" si="1"/>
        <v>0</v>
      </c>
      <c r="K11" s="71">
        <v>40</v>
      </c>
      <c r="L11" s="73">
        <f t="shared" ca="1" si="2"/>
        <v>0.4</v>
      </c>
      <c r="M11" s="73">
        <f t="shared" ca="1" si="3"/>
        <v>0.5714285714285714</v>
      </c>
      <c r="N11" s="73">
        <f ca="1">IF(ISNUMBER(F11),F11*L11,F11)</f>
        <v>0</v>
      </c>
      <c r="O11" s="73">
        <f t="shared" ca="1" si="4"/>
        <v>0</v>
      </c>
      <c r="P11" s="73">
        <f ca="1">IF(ISNUMBER(J11),J11*M11,J11)</f>
        <v>0</v>
      </c>
      <c r="Q11" s="73">
        <f t="shared" ca="1" si="5"/>
        <v>0</v>
      </c>
      <c r="R11" s="77"/>
      <c r="S11" s="75"/>
      <c r="T11" s="75"/>
      <c r="U11" s="75"/>
      <c r="V11" s="76"/>
      <c r="W11" s="76"/>
      <c r="X11" s="76"/>
      <c r="Y11" s="134">
        <f t="shared" si="8"/>
        <v>7</v>
      </c>
    </row>
    <row r="12" spans="1:25" x14ac:dyDescent="0.3">
      <c r="A12" s="64" t="s">
        <v>659</v>
      </c>
      <c r="B12" s="65" t="s">
        <v>664</v>
      </c>
      <c r="C12" s="71">
        <f>SUMIFS(Grille!R:R,Grille!A:A,Grille_HT5!A12,Grille!C:C,Grille_HT5!B12,Grille!G:G,"Majeur")</f>
        <v>42</v>
      </c>
      <c r="D12" s="71">
        <f ca="1">SUMIFS(Grille!Q:Q,Grille!A:A,Grille_HT5!A12,Grille!C:C,Grille_HT5!B12,Grille!G:G,"Majeur")</f>
        <v>42</v>
      </c>
      <c r="E12" s="71">
        <f ca="1">SUMIFS(Grille!N:N,Grille!A:A,Grille_HT5!A12,Grille!C:C,Grille_HT5!B12,Grille!G:G,"Majeur")</f>
        <v>0</v>
      </c>
      <c r="F12" s="72">
        <f t="shared" ca="1" si="0"/>
        <v>0</v>
      </c>
      <c r="G12" s="71">
        <f>SUMIFS(Grille!R:R,Grille!A:A,Grille_HT5!A12,Grille!C:C,Grille_HT5!B12,Grille!G:G,"Mineur")</f>
        <v>2</v>
      </c>
      <c r="H12" s="71">
        <f ca="1">SUMIFS(Grille!Q:Q,Grille!A:A,Grille_HT5!A12,Grille!C:C,Grille_HT5!B12,Grille!G:G,"Mineur")</f>
        <v>2</v>
      </c>
      <c r="I12" s="71">
        <f ca="1">SUMIFS(Grille!N:N,Grille!A:A,Grille_HT5!A12,Grille!C:C,Grille_HT5!B12,Grille!G:G,"Mineur")</f>
        <v>0</v>
      </c>
      <c r="J12" s="72">
        <f t="shared" ca="1" si="1"/>
        <v>0</v>
      </c>
      <c r="K12" s="71">
        <v>30</v>
      </c>
      <c r="L12" s="73">
        <f t="shared" ca="1" si="2"/>
        <v>0.3</v>
      </c>
      <c r="M12" s="73">
        <f t="shared" ca="1" si="3"/>
        <v>0.42857142857142855</v>
      </c>
      <c r="N12" s="73">
        <f ca="1">IF(ISNUMBER(F12),F12*L12,F12)</f>
        <v>0</v>
      </c>
      <c r="O12" s="73">
        <f t="shared" ca="1" si="4"/>
        <v>0</v>
      </c>
      <c r="P12" s="73">
        <f ca="1">IF(ISNUMBER(J12),J12*M12,J12)</f>
        <v>0</v>
      </c>
      <c r="Q12" s="73">
        <f t="shared" ca="1" si="5"/>
        <v>0</v>
      </c>
      <c r="R12" s="77"/>
      <c r="S12" s="75"/>
      <c r="T12" s="75"/>
      <c r="U12" s="75"/>
      <c r="V12" s="76"/>
      <c r="W12" s="76"/>
      <c r="X12" s="76"/>
      <c r="Y12" s="134">
        <f t="shared" si="8"/>
        <v>8</v>
      </c>
    </row>
    <row r="13" spans="1:25" x14ac:dyDescent="0.3">
      <c r="A13" s="64" t="s">
        <v>659</v>
      </c>
      <c r="B13" s="65" t="s">
        <v>667</v>
      </c>
      <c r="C13" s="71">
        <f>SUMIFS(Grille!R:R,Grille!A:A,Grille_HT5!A13,Grille!C:C,Grille_HT5!B13,Grille!G:G,"Majeur")</f>
        <v>26</v>
      </c>
      <c r="D13" s="71">
        <f ca="1">SUMIFS(Grille!Q:Q,Grille!A:A,Grille_HT5!A13,Grille!C:C,Grille_HT5!B13,Grille!G:G,"Majeur")</f>
        <v>26</v>
      </c>
      <c r="E13" s="71">
        <f ca="1">SUMIFS(Grille!N:N,Grille!A:A,Grille_HT5!A13,Grille!C:C,Grille_HT5!B13,Grille!G:G,"Majeur")</f>
        <v>0</v>
      </c>
      <c r="F13" s="72">
        <f t="shared" ca="1" si="0"/>
        <v>0</v>
      </c>
      <c r="G13" s="71">
        <f>SUMIFS(Grille!R:R,Grille!A:A,Grille_HT5!A13,Grille!C:C,Grille_HT5!B13,Grille!G:G,"Mineur")</f>
        <v>0</v>
      </c>
      <c r="H13" s="71">
        <f>SUMIFS(Grille!Q:Q,Grille!A:A,Grille_HT5!A13,Grille!C:C,Grille_HT5!B13,Grille!G:G,"Mineur")</f>
        <v>0</v>
      </c>
      <c r="I13" s="71">
        <f>SUMIFS(Grille!N:N,Grille!A:A,Grille_HT5!A13,Grille!C:C,Grille_HT5!B13,Grille!G:G,"Mineur")</f>
        <v>0</v>
      </c>
      <c r="J13" s="72" t="str">
        <f t="shared" si="1"/>
        <v>Non appliqué</v>
      </c>
      <c r="K13" s="71">
        <v>15</v>
      </c>
      <c r="L13" s="73">
        <f t="shared" ca="1" si="2"/>
        <v>0.15</v>
      </c>
      <c r="M13" s="73" t="str">
        <f t="shared" si="3"/>
        <v>Non appliqué</v>
      </c>
      <c r="N13" s="73">
        <f ca="1">IF(ISNUMBER(F13),F13*L13,F13)</f>
        <v>0</v>
      </c>
      <c r="O13" s="73">
        <f t="shared" ca="1" si="4"/>
        <v>0</v>
      </c>
      <c r="P13" s="73" t="str">
        <f>IF(ISNUMBER(J13),J13*M13,J13)</f>
        <v>Non appliqué</v>
      </c>
      <c r="Q13" s="73">
        <f t="shared" ca="1" si="5"/>
        <v>0</v>
      </c>
      <c r="R13" s="77"/>
      <c r="S13" s="75"/>
      <c r="T13" s="75"/>
      <c r="U13" s="75"/>
      <c r="V13" s="76"/>
      <c r="W13" s="76"/>
      <c r="X13" s="76"/>
      <c r="Y13" s="134">
        <f t="shared" si="8"/>
        <v>9</v>
      </c>
    </row>
    <row r="14" spans="1:25" x14ac:dyDescent="0.3">
      <c r="A14" s="64" t="s">
        <v>659</v>
      </c>
      <c r="B14" s="65" t="s">
        <v>668</v>
      </c>
      <c r="C14" s="71">
        <f>SUMIFS(Grille!R:R,Grille!A:A,Grille_HT5!A14,Grille!C:C,Grille_HT5!B14,Grille!G:G,"Majeur")</f>
        <v>4</v>
      </c>
      <c r="D14" s="71">
        <f ca="1">SUMIFS(Grille!Q:Q,Grille!A:A,Grille_HT5!A14,Grille!C:C,Grille_HT5!B14,Grille!G:G,"Majeur")</f>
        <v>4</v>
      </c>
      <c r="E14" s="71">
        <f ca="1">SUMIFS(Grille!N:N,Grille!A:A,Grille_HT5!A14,Grille!C:C,Grille_HT5!B14,Grille!G:G,"Majeur")</f>
        <v>0</v>
      </c>
      <c r="F14" s="72">
        <f t="shared" ca="1" si="0"/>
        <v>0</v>
      </c>
      <c r="G14" s="71">
        <f>SUMIFS(Grille!R:R,Grille!A:A,Grille_HT5!A14,Grille!C:C,Grille_HT5!B14,Grille!G:G,"Mineur")</f>
        <v>0</v>
      </c>
      <c r="H14" s="71">
        <f>SUMIFS(Grille!Q:Q,Grille!A:A,Grille_HT5!A14,Grille!C:C,Grille_HT5!B14,Grille!G:G,"Mineur")</f>
        <v>0</v>
      </c>
      <c r="I14" s="71">
        <f>SUMIFS(Grille!N:N,Grille!A:A,Grille_HT5!A14,Grille!C:C,Grille_HT5!B14,Grille!G:G,"Mineur")</f>
        <v>0</v>
      </c>
      <c r="J14" s="72" t="str">
        <f t="shared" si="1"/>
        <v>Non appliqué</v>
      </c>
      <c r="K14" s="71">
        <v>5</v>
      </c>
      <c r="L14" s="73">
        <f t="shared" ca="1" si="2"/>
        <v>0.05</v>
      </c>
      <c r="M14" s="73" t="str">
        <f t="shared" si="3"/>
        <v>Non appliqué</v>
      </c>
      <c r="N14" s="73">
        <f ca="1">IF(ISNUMBER(F14),F14*L14,F14)</f>
        <v>0</v>
      </c>
      <c r="O14" s="73">
        <f t="shared" ca="1" si="4"/>
        <v>0</v>
      </c>
      <c r="P14" s="73" t="str">
        <f>IF(ISNUMBER(J14),J14*M14,J14)</f>
        <v>Non appliqué</v>
      </c>
      <c r="Q14" s="73">
        <f t="shared" ca="1" si="5"/>
        <v>0</v>
      </c>
      <c r="R14" s="77"/>
      <c r="S14" s="75"/>
      <c r="T14" s="75"/>
      <c r="U14" s="75"/>
      <c r="V14" s="76"/>
      <c r="W14" s="76"/>
      <c r="X14" s="76"/>
      <c r="Y14" s="134">
        <f t="shared" si="8"/>
        <v>10</v>
      </c>
    </row>
    <row r="15" spans="1:25" x14ac:dyDescent="0.3">
      <c r="A15" s="4"/>
      <c r="B15" s="4" t="str">
        <f>A16</f>
        <v>Sanitaires publiques</v>
      </c>
      <c r="C15" s="5"/>
      <c r="D15" s="5"/>
      <c r="E15" s="5"/>
      <c r="F15" s="5"/>
      <c r="G15" s="9"/>
      <c r="H15" s="9"/>
      <c r="I15" s="9"/>
      <c r="J15" s="6"/>
      <c r="K15" s="5"/>
      <c r="L15" s="5"/>
      <c r="M15" s="5"/>
      <c r="N15" s="6"/>
      <c r="O15" s="6"/>
      <c r="P15" s="6"/>
      <c r="Q15" s="6"/>
      <c r="R15" s="70">
        <v>2</v>
      </c>
      <c r="S15" s="7">
        <f t="shared" ca="1" si="6"/>
        <v>0.02</v>
      </c>
      <c r="T15" s="7">
        <f ca="1">IFERROR(S15/SUM(S:S),S15)</f>
        <v>2.3529411764705882E-2</v>
      </c>
      <c r="U15" s="7">
        <f ca="1">IFERROR(T15*O16,T15)</f>
        <v>0</v>
      </c>
      <c r="V15" s="7">
        <f t="shared" ca="1" si="7"/>
        <v>0.02</v>
      </c>
      <c r="W15" s="7">
        <f ca="1">IFERROR(V15/SUM(V:V),V15)</f>
        <v>2.0202020202020204E-2</v>
      </c>
      <c r="X15" s="7">
        <f ca="1">IFERROR(W15*Q16,W15)</f>
        <v>0</v>
      </c>
      <c r="Y15" s="134"/>
    </row>
    <row r="16" spans="1:25" x14ac:dyDescent="0.3">
      <c r="A16" s="64" t="s">
        <v>669</v>
      </c>
      <c r="B16" s="65" t="s">
        <v>671</v>
      </c>
      <c r="C16" s="71">
        <f>SUMIFS(Grille!R:R,Grille!A:A,Grille_HT5!A16,Grille!C:C,Grille_HT5!B16,Grille!G:G,"Majeur")</f>
        <v>15</v>
      </c>
      <c r="D16" s="71">
        <f ca="1">SUMIFS(Grille!Q:Q,Grille!A:A,Grille_HT5!A16,Grille!C:C,Grille_HT5!B16,Grille!G:G,"Majeur")</f>
        <v>15</v>
      </c>
      <c r="E16" s="71">
        <f ca="1">SUMIFS(Grille!N:N,Grille!A:A,Grille_HT5!A16,Grille!C:C,Grille_HT5!B16,Grille!G:G,"Majeur")</f>
        <v>0</v>
      </c>
      <c r="F16" s="72">
        <f t="shared" ca="1" si="0"/>
        <v>0</v>
      </c>
      <c r="G16" s="71">
        <f>SUMIFS(Grille!R:R,Grille!A:A,Grille_HT5!A16,Grille!C:C,Grille_HT5!B16,Grille!G:G,"Mineur")</f>
        <v>1</v>
      </c>
      <c r="H16" s="71">
        <f ca="1">SUMIFS(Grille!Q:Q,Grille!A:A,Grille_HT5!A16,Grille!C:C,Grille_HT5!B16,Grille!G:G,"Mineur")</f>
        <v>1</v>
      </c>
      <c r="I16" s="71">
        <f ca="1">SUMIFS(Grille!N:N,Grille!A:A,Grille_HT5!A16,Grille!C:C,Grille_HT5!B16,Grille!G:G,"Mineur")</f>
        <v>0</v>
      </c>
      <c r="J16" s="72">
        <f t="shared" ca="1" si="1"/>
        <v>0</v>
      </c>
      <c r="K16" s="71">
        <v>40</v>
      </c>
      <c r="L16" s="73">
        <f t="shared" ca="1" si="2"/>
        <v>0.4</v>
      </c>
      <c r="M16" s="73">
        <f t="shared" ca="1" si="3"/>
        <v>0.4</v>
      </c>
      <c r="N16" s="73">
        <f ca="1">IF(ISNUMBER(F16),F16*L16,F16)</f>
        <v>0</v>
      </c>
      <c r="O16" s="73">
        <f t="shared" ca="1" si="4"/>
        <v>0</v>
      </c>
      <c r="P16" s="73">
        <f ca="1">IF(ISNUMBER(J16),J16*M16,J16)</f>
        <v>0</v>
      </c>
      <c r="Q16" s="73">
        <f t="shared" ca="1" si="5"/>
        <v>0</v>
      </c>
      <c r="R16" s="77"/>
      <c r="S16" s="75"/>
      <c r="T16" s="75"/>
      <c r="U16" s="75"/>
      <c r="V16" s="76"/>
      <c r="W16" s="76"/>
      <c r="X16" s="76"/>
      <c r="Y16" s="134">
        <v>11</v>
      </c>
    </row>
    <row r="17" spans="1:25" x14ac:dyDescent="0.3">
      <c r="A17" s="64" t="s">
        <v>669</v>
      </c>
      <c r="B17" s="65" t="s">
        <v>673</v>
      </c>
      <c r="C17" s="71">
        <f>SUMIFS(Grille!R:R,Grille!A:A,Grille_HT5!A17,Grille!C:C,Grille_HT5!B17,Grille!G:G,"Majeur")</f>
        <v>9</v>
      </c>
      <c r="D17" s="71">
        <f ca="1">SUMIFS(Grille!Q:Q,Grille!A:A,Grille_HT5!A17,Grille!C:C,Grille_HT5!B17,Grille!G:G,"Majeur")</f>
        <v>9</v>
      </c>
      <c r="E17" s="71">
        <f ca="1">SUMIFS(Grille!N:N,Grille!A:A,Grille_HT5!A17,Grille!C:C,Grille_HT5!B17,Grille!G:G,"Majeur")</f>
        <v>0</v>
      </c>
      <c r="F17" s="72">
        <f t="shared" ca="1" si="0"/>
        <v>0</v>
      </c>
      <c r="G17" s="71">
        <f>SUMIFS(Grille!R:R,Grille!A:A,Grille_HT5!A17,Grille!C:C,Grille_HT5!B17,Grille!G:G,"Mineur")</f>
        <v>3</v>
      </c>
      <c r="H17" s="71">
        <f ca="1">SUMIFS(Grille!Q:Q,Grille!A:A,Grille_HT5!A17,Grille!C:C,Grille_HT5!B17,Grille!G:G,"Mineur")</f>
        <v>3</v>
      </c>
      <c r="I17" s="71">
        <f ca="1">SUMIFS(Grille!N:N,Grille!A:A,Grille_HT5!A17,Grille!C:C,Grille_HT5!B17,Grille!G:G,"Mineur")</f>
        <v>0</v>
      </c>
      <c r="J17" s="72">
        <f t="shared" ca="1" si="1"/>
        <v>0</v>
      </c>
      <c r="K17" s="71">
        <v>30</v>
      </c>
      <c r="L17" s="73">
        <f t="shared" ca="1" si="2"/>
        <v>0.3</v>
      </c>
      <c r="M17" s="73">
        <f t="shared" ca="1" si="3"/>
        <v>0.3</v>
      </c>
      <c r="N17" s="73">
        <f ca="1">IF(ISNUMBER(F17),F17*L17,F17)</f>
        <v>0</v>
      </c>
      <c r="O17" s="73">
        <f t="shared" ca="1" si="4"/>
        <v>0</v>
      </c>
      <c r="P17" s="73">
        <f ca="1">IF(ISNUMBER(J17),J17*M17,J17)</f>
        <v>0</v>
      </c>
      <c r="Q17" s="73">
        <f t="shared" ca="1" si="5"/>
        <v>0</v>
      </c>
      <c r="R17" s="77"/>
      <c r="S17" s="75"/>
      <c r="T17" s="75"/>
      <c r="U17" s="75"/>
      <c r="V17" s="76"/>
      <c r="W17" s="76"/>
      <c r="X17" s="76"/>
      <c r="Y17" s="134">
        <f t="shared" si="8"/>
        <v>12</v>
      </c>
    </row>
    <row r="18" spans="1:25" x14ac:dyDescent="0.3">
      <c r="A18" s="64" t="s">
        <v>669</v>
      </c>
      <c r="B18" s="65" t="s">
        <v>675</v>
      </c>
      <c r="C18" s="71">
        <f>SUMIFS(Grille!R:R,Grille!A:A,Grille_HT5!A18,Grille!C:C,Grille_HT5!B18,Grille!G:G,"Majeur")</f>
        <v>14</v>
      </c>
      <c r="D18" s="71">
        <f ca="1">SUMIFS(Grille!Q:Q,Grille!A:A,Grille_HT5!A18,Grille!C:C,Grille_HT5!B18,Grille!G:G,"Majeur")</f>
        <v>14</v>
      </c>
      <c r="E18" s="71">
        <f ca="1">SUMIFS(Grille!N:N,Grille!A:A,Grille_HT5!A18,Grille!C:C,Grille_HT5!B18,Grille!G:G,"Majeur")</f>
        <v>0</v>
      </c>
      <c r="F18" s="72">
        <f t="shared" ca="1" si="0"/>
        <v>0</v>
      </c>
      <c r="G18" s="71">
        <f>SUMIFS(Grille!R:R,Grille!A:A,Grille_HT5!A18,Grille!C:C,Grille_HT5!B18,Grille!G:G,"Mineur")</f>
        <v>1</v>
      </c>
      <c r="H18" s="71">
        <f ca="1">SUMIFS(Grille!Q:Q,Grille!A:A,Grille_HT5!A18,Grille!C:C,Grille_HT5!B18,Grille!G:G,"Mineur")</f>
        <v>1</v>
      </c>
      <c r="I18" s="71">
        <f ca="1">SUMIFS(Grille!N:N,Grille!A:A,Grille_HT5!A18,Grille!C:C,Grille_HT5!B18,Grille!G:G,"Mineur")</f>
        <v>0</v>
      </c>
      <c r="J18" s="72">
        <f t="shared" ca="1" si="1"/>
        <v>0</v>
      </c>
      <c r="K18" s="71">
        <v>30</v>
      </c>
      <c r="L18" s="73">
        <f t="shared" ca="1" si="2"/>
        <v>0.3</v>
      </c>
      <c r="M18" s="73">
        <f t="shared" ca="1" si="3"/>
        <v>0.3</v>
      </c>
      <c r="N18" s="73">
        <f ca="1">IF(ISNUMBER(F18),F18*L18,F18)</f>
        <v>0</v>
      </c>
      <c r="O18" s="73">
        <f t="shared" ca="1" si="4"/>
        <v>0</v>
      </c>
      <c r="P18" s="73">
        <f ca="1">IF(ISNUMBER(J18),J18*M18,J18)</f>
        <v>0</v>
      </c>
      <c r="Q18" s="73">
        <f t="shared" ca="1" si="5"/>
        <v>0</v>
      </c>
      <c r="R18" s="77"/>
      <c r="S18" s="75"/>
      <c r="T18" s="75"/>
      <c r="U18" s="75"/>
      <c r="V18" s="76"/>
      <c r="W18" s="76"/>
      <c r="X18" s="76"/>
      <c r="Y18" s="134">
        <f t="shared" si="8"/>
        <v>13</v>
      </c>
    </row>
    <row r="19" spans="1:25" x14ac:dyDescent="0.3">
      <c r="A19" s="4"/>
      <c r="B19" s="4" t="str">
        <f>A20</f>
        <v>Circulation</v>
      </c>
      <c r="C19" s="5"/>
      <c r="D19" s="5"/>
      <c r="E19" s="5"/>
      <c r="F19" s="5"/>
      <c r="G19" s="9"/>
      <c r="H19" s="9"/>
      <c r="I19" s="9"/>
      <c r="J19" s="6"/>
      <c r="K19" s="5"/>
      <c r="L19" s="5"/>
      <c r="M19" s="5"/>
      <c r="N19" s="6"/>
      <c r="O19" s="6"/>
      <c r="P19" s="6"/>
      <c r="Q19" s="6"/>
      <c r="R19" s="70">
        <v>3</v>
      </c>
      <c r="S19" s="7">
        <f t="shared" ca="1" si="6"/>
        <v>0.03</v>
      </c>
      <c r="T19" s="7">
        <f ca="1">IFERROR(S19/SUM(S:S),S19)</f>
        <v>3.5294117647058823E-2</v>
      </c>
      <c r="U19" s="7">
        <f ca="1">IFERROR(T19*O20,T19)</f>
        <v>0</v>
      </c>
      <c r="V19" s="7">
        <f t="shared" ca="1" si="7"/>
        <v>0.03</v>
      </c>
      <c r="W19" s="7">
        <f ca="1">IFERROR(V19/SUM(V:V),V19)</f>
        <v>3.0303030303030304E-2</v>
      </c>
      <c r="X19" s="7">
        <f ca="1">IFERROR(W19*Q20,W19)</f>
        <v>0</v>
      </c>
      <c r="Y19" s="134"/>
    </row>
    <row r="20" spans="1:25" x14ac:dyDescent="0.3">
      <c r="A20" s="64" t="s">
        <v>676</v>
      </c>
      <c r="B20" s="65" t="s">
        <v>677</v>
      </c>
      <c r="C20" s="71">
        <f>SUMIFS(Grille!R:R,Grille!A:A,Grille_HT5!A20,Grille!C:C,Grille_HT5!B20,Grille!G:G,"Majeur")</f>
        <v>19</v>
      </c>
      <c r="D20" s="71">
        <f ca="1">SUMIFS(Grille!Q:Q,Grille!A:A,Grille_HT5!A20,Grille!C:C,Grille_HT5!B20,Grille!G:G,"Majeur")</f>
        <v>19</v>
      </c>
      <c r="E20" s="71">
        <f ca="1">SUMIFS(Grille!N:N,Grille!A:A,Grille_HT5!A20,Grille!C:C,Grille_HT5!B20,Grille!G:G,"Majeur")</f>
        <v>0</v>
      </c>
      <c r="F20" s="72">
        <f t="shared" ca="1" si="0"/>
        <v>0</v>
      </c>
      <c r="G20" s="71">
        <f>SUMIFS(Grille!R:R,Grille!A:A,Grille_HT5!A20,Grille!C:C,Grille_HT5!B20,Grille!G:G,"Mineur")</f>
        <v>2</v>
      </c>
      <c r="H20" s="71">
        <f ca="1">SUMIFS(Grille!Q:Q,Grille!A:A,Grille_HT5!A20,Grille!C:C,Grille_HT5!B20,Grille!G:G,"Mineur")</f>
        <v>2</v>
      </c>
      <c r="I20" s="71">
        <f ca="1">SUMIFS(Grille!N:N,Grille!A:A,Grille_HT5!A20,Grille!C:C,Grille_HT5!B20,Grille!G:G,"Mineur")</f>
        <v>0</v>
      </c>
      <c r="J20" s="72">
        <f t="shared" ca="1" si="1"/>
        <v>0</v>
      </c>
      <c r="K20" s="71">
        <v>70</v>
      </c>
      <c r="L20" s="73">
        <f t="shared" ca="1" si="2"/>
        <v>0.7</v>
      </c>
      <c r="M20" s="73">
        <f t="shared" ca="1" si="3"/>
        <v>1</v>
      </c>
      <c r="N20" s="73">
        <f ca="1">IF(ISNUMBER(F20),F20*L20,F20)</f>
        <v>0</v>
      </c>
      <c r="O20" s="73">
        <f t="shared" ca="1" si="4"/>
        <v>0</v>
      </c>
      <c r="P20" s="73">
        <f ca="1">IF(ISNUMBER(J20),J20*M20,J20)</f>
        <v>0</v>
      </c>
      <c r="Q20" s="73">
        <f t="shared" ca="1" si="5"/>
        <v>0</v>
      </c>
      <c r="R20" s="77"/>
      <c r="S20" s="75"/>
      <c r="T20" s="75"/>
      <c r="U20" s="75"/>
      <c r="V20" s="76"/>
      <c r="W20" s="76"/>
      <c r="X20" s="76"/>
      <c r="Y20" s="134">
        <v>14</v>
      </c>
    </row>
    <row r="21" spans="1:25" x14ac:dyDescent="0.3">
      <c r="A21" s="64" t="s">
        <v>676</v>
      </c>
      <c r="B21" s="65" t="s">
        <v>678</v>
      </c>
      <c r="C21" s="71">
        <f>SUMIFS(Grille!R:R,Grille!A:A,Grille_HT5!A21,Grille!C:C,Grille_HT5!B21,Grille!G:G,"Majeur")</f>
        <v>16</v>
      </c>
      <c r="D21" s="71">
        <f ca="1">SUMIFS(Grille!Q:Q,Grille!A:A,Grille_HT5!A21,Grille!C:C,Grille_HT5!B21,Grille!G:G,"Majeur")</f>
        <v>16</v>
      </c>
      <c r="E21" s="71">
        <f ca="1">SUMIFS(Grille!N:N,Grille!A:A,Grille_HT5!A21,Grille!C:C,Grille_HT5!B21,Grille!G:G,"Majeur")</f>
        <v>0</v>
      </c>
      <c r="F21" s="72">
        <f t="shared" ca="1" si="0"/>
        <v>0</v>
      </c>
      <c r="G21" s="71">
        <f>SUMIFS(Grille!R:R,Grille!A:A,Grille_HT5!A21,Grille!C:C,Grille_HT5!B21,Grille!G:G,"Mineur")</f>
        <v>0</v>
      </c>
      <c r="H21" s="71">
        <f>SUMIFS(Grille!Q:Q,Grille!A:A,Grille_HT5!A21,Grille!C:C,Grille_HT5!B21,Grille!G:G,"Mineur")</f>
        <v>0</v>
      </c>
      <c r="I21" s="71">
        <f>SUMIFS(Grille!N:N,Grille!A:A,Grille_HT5!A21,Grille!C:C,Grille_HT5!B21,Grille!G:G,"Mineur")</f>
        <v>0</v>
      </c>
      <c r="J21" s="72" t="str">
        <f t="shared" si="1"/>
        <v>Non appliqué</v>
      </c>
      <c r="K21" s="71">
        <v>30</v>
      </c>
      <c r="L21" s="73">
        <f t="shared" ca="1" si="2"/>
        <v>0.3</v>
      </c>
      <c r="M21" s="73" t="str">
        <f t="shared" si="3"/>
        <v>Non appliqué</v>
      </c>
      <c r="N21" s="73">
        <f ca="1">IF(ISNUMBER(F21),F21*L21,F21)</f>
        <v>0</v>
      </c>
      <c r="O21" s="73">
        <f t="shared" ca="1" si="4"/>
        <v>0</v>
      </c>
      <c r="P21" s="73" t="str">
        <f>IF(ISNUMBER(J21),J21*M21,J21)</f>
        <v>Non appliqué</v>
      </c>
      <c r="Q21" s="73">
        <f t="shared" ca="1" si="5"/>
        <v>0</v>
      </c>
      <c r="R21" s="77"/>
      <c r="S21" s="75"/>
      <c r="T21" s="75"/>
      <c r="U21" s="75"/>
      <c r="V21" s="76"/>
      <c r="W21" s="76"/>
      <c r="X21" s="76"/>
      <c r="Y21" s="134">
        <f t="shared" si="8"/>
        <v>15</v>
      </c>
    </row>
    <row r="22" spans="1:25" x14ac:dyDescent="0.3">
      <c r="A22" s="4"/>
      <c r="B22" s="4" t="str">
        <f>A23</f>
        <v>Petit déjeuner</v>
      </c>
      <c r="C22" s="5"/>
      <c r="D22" s="5"/>
      <c r="E22" s="5"/>
      <c r="F22" s="5"/>
      <c r="G22" s="9"/>
      <c r="H22" s="9"/>
      <c r="I22" s="9"/>
      <c r="J22" s="6"/>
      <c r="K22" s="5"/>
      <c r="L22" s="5"/>
      <c r="M22" s="5"/>
      <c r="N22" s="6"/>
      <c r="O22" s="6"/>
      <c r="P22" s="6"/>
      <c r="Q22" s="6"/>
      <c r="R22" s="70">
        <v>7.5</v>
      </c>
      <c r="S22" s="7">
        <f t="shared" ca="1" si="6"/>
        <v>7.4999999999999997E-2</v>
      </c>
      <c r="T22" s="7">
        <f ca="1">IFERROR(S22/SUM(S:S),S22)</f>
        <v>8.8235294117647065E-2</v>
      </c>
      <c r="U22" s="7">
        <f ca="1">IFERROR(T22*O23,T22)</f>
        <v>0</v>
      </c>
      <c r="V22" s="7">
        <f t="shared" ca="1" si="7"/>
        <v>7.4999999999999997E-2</v>
      </c>
      <c r="W22" s="7">
        <f ca="1">IFERROR(V22/SUM(V:V),V22)</f>
        <v>7.575757575757576E-2</v>
      </c>
      <c r="X22" s="7">
        <f ca="1">IFERROR(W22*Q23,W22)</f>
        <v>0</v>
      </c>
      <c r="Y22" s="134"/>
    </row>
    <row r="23" spans="1:25" x14ac:dyDescent="0.3">
      <c r="A23" s="64" t="s">
        <v>680</v>
      </c>
      <c r="B23" s="65" t="s">
        <v>682</v>
      </c>
      <c r="C23" s="71">
        <f>SUMIFS(Grille!R:R,Grille!A:A,Grille_HT5!A23,Grille!C:C,Grille_HT5!B23,Grille!G:G,"Majeur")</f>
        <v>20</v>
      </c>
      <c r="D23" s="71">
        <f ca="1">SUMIFS(Grille!Q:Q,Grille!A:A,Grille_HT5!A23,Grille!C:C,Grille_HT5!B23,Grille!G:G,"Majeur")</f>
        <v>20</v>
      </c>
      <c r="E23" s="71">
        <f ca="1">SUMIFS(Grille!N:N,Grille!A:A,Grille_HT5!A23,Grille!C:C,Grille_HT5!B23,Grille!G:G,"Majeur")</f>
        <v>0</v>
      </c>
      <c r="F23" s="72">
        <f t="shared" ca="1" si="0"/>
        <v>0</v>
      </c>
      <c r="G23" s="71">
        <f>SUMIFS(Grille!R:R,Grille!A:A,Grille_HT5!A23,Grille!C:C,Grille_HT5!B23,Grille!G:G,"Mineur")</f>
        <v>3</v>
      </c>
      <c r="H23" s="71">
        <f ca="1">SUMIFS(Grille!Q:Q,Grille!A:A,Grille_HT5!A23,Grille!C:C,Grille_HT5!B23,Grille!G:G,"Mineur")</f>
        <v>3</v>
      </c>
      <c r="I23" s="71">
        <f ca="1">SUMIFS(Grille!N:N,Grille!A:A,Grille_HT5!A23,Grille!C:C,Grille_HT5!B23,Grille!G:G,"Mineur")</f>
        <v>0</v>
      </c>
      <c r="J23" s="72">
        <f t="shared" ca="1" si="1"/>
        <v>0</v>
      </c>
      <c r="K23" s="71">
        <v>70</v>
      </c>
      <c r="L23" s="73">
        <f t="shared" ca="1" si="2"/>
        <v>0.7</v>
      </c>
      <c r="M23" s="73">
        <f t="shared" ca="1" si="3"/>
        <v>1</v>
      </c>
      <c r="N23" s="73">
        <f ca="1">IF(ISNUMBER(F23),F23*L23,F23)</f>
        <v>0</v>
      </c>
      <c r="O23" s="73">
        <f t="shared" ca="1" si="4"/>
        <v>0</v>
      </c>
      <c r="P23" s="73">
        <f ca="1">IF(ISNUMBER(J23),J23*M23,J23)</f>
        <v>0</v>
      </c>
      <c r="Q23" s="73">
        <f t="shared" ca="1" si="5"/>
        <v>0</v>
      </c>
      <c r="R23" s="77"/>
      <c r="S23" s="75"/>
      <c r="T23" s="75"/>
      <c r="U23" s="75"/>
      <c r="V23" s="76"/>
      <c r="W23" s="76"/>
      <c r="X23" s="76"/>
      <c r="Y23" s="134">
        <v>16</v>
      </c>
    </row>
    <row r="24" spans="1:25" x14ac:dyDescent="0.3">
      <c r="A24" s="64" t="s">
        <v>680</v>
      </c>
      <c r="B24" s="65" t="s">
        <v>685</v>
      </c>
      <c r="C24" s="71">
        <f>SUMIFS(Grille!R:R,Grille!A:A,Grille_HT5!A24,Grille!C:C,Grille_HT5!B24,Grille!G:G,"Majeur")</f>
        <v>18</v>
      </c>
      <c r="D24" s="71">
        <f ca="1">SUMIFS(Grille!Q:Q,Grille!A:A,Grille_HT5!A24,Grille!C:C,Grille_HT5!B24,Grille!G:G,"Majeur")</f>
        <v>18</v>
      </c>
      <c r="E24" s="71">
        <f ca="1">SUMIFS(Grille!N:N,Grille!A:A,Grille_HT5!A24,Grille!C:C,Grille_HT5!B24,Grille!G:G,"Majeur")</f>
        <v>0</v>
      </c>
      <c r="F24" s="72">
        <f t="shared" ca="1" si="0"/>
        <v>0</v>
      </c>
      <c r="G24" s="71">
        <f>SUMIFS(Grille!R:R,Grille!A:A,Grille_HT5!A24,Grille!C:C,Grille_HT5!B24,Grille!G:G,"Mineur")</f>
        <v>0</v>
      </c>
      <c r="H24" s="71">
        <f>SUMIFS(Grille!Q:Q,Grille!A:A,Grille_HT5!A24,Grille!C:C,Grille_HT5!B24,Grille!G:G,"Mineur")</f>
        <v>0</v>
      </c>
      <c r="I24" s="71">
        <f>SUMIFS(Grille!N:N,Grille!A:A,Grille_HT5!A24,Grille!C:C,Grille_HT5!B24,Grille!G:G,"Mineur")</f>
        <v>0</v>
      </c>
      <c r="J24" s="72" t="str">
        <f t="shared" si="1"/>
        <v>Non appliqué</v>
      </c>
      <c r="K24" s="71">
        <v>30</v>
      </c>
      <c r="L24" s="73">
        <f t="shared" ca="1" si="2"/>
        <v>0.3</v>
      </c>
      <c r="M24" s="73" t="str">
        <f t="shared" si="3"/>
        <v>Non appliqué</v>
      </c>
      <c r="N24" s="73">
        <f ca="1">IF(ISNUMBER(F24),F24*L24,F24)</f>
        <v>0</v>
      </c>
      <c r="O24" s="73">
        <f t="shared" ca="1" si="4"/>
        <v>0</v>
      </c>
      <c r="P24" s="73" t="str">
        <f>IF(ISNUMBER(J24),J24*M24,J24)</f>
        <v>Non appliqué</v>
      </c>
      <c r="Q24" s="73">
        <f t="shared" ca="1" si="5"/>
        <v>0</v>
      </c>
      <c r="R24" s="77"/>
      <c r="S24" s="75"/>
      <c r="T24" s="75"/>
      <c r="U24" s="75"/>
      <c r="V24" s="76"/>
      <c r="W24" s="76"/>
      <c r="X24" s="76"/>
      <c r="Y24" s="134">
        <f t="shared" si="8"/>
        <v>17</v>
      </c>
    </row>
    <row r="25" spans="1:25" x14ac:dyDescent="0.3">
      <c r="A25" s="4"/>
      <c r="B25" s="4" t="s">
        <v>686</v>
      </c>
      <c r="C25" s="5"/>
      <c r="D25" s="5"/>
      <c r="E25" s="5"/>
      <c r="F25" s="5"/>
      <c r="G25" s="9"/>
      <c r="H25" s="9"/>
      <c r="I25" s="9"/>
      <c r="J25" s="6"/>
      <c r="K25" s="5"/>
      <c r="L25" s="5"/>
      <c r="M25" s="5"/>
      <c r="N25" s="6"/>
      <c r="O25" s="6"/>
      <c r="P25" s="6"/>
      <c r="Q25" s="6"/>
      <c r="R25" s="70">
        <v>7.5</v>
      </c>
      <c r="S25" s="7">
        <f t="shared" ca="1" si="6"/>
        <v>7.4999999999999997E-2</v>
      </c>
      <c r="T25" s="7">
        <f ca="1">IFERROR(S25/SUM(S:S),S25)</f>
        <v>8.8235294117647065E-2</v>
      </c>
      <c r="U25" s="7">
        <f ca="1">IFERROR(T25*O26,T25)</f>
        <v>0</v>
      </c>
      <c r="V25" s="7">
        <f t="shared" ca="1" si="7"/>
        <v>7.4999999999999997E-2</v>
      </c>
      <c r="W25" s="7">
        <f ca="1">IFERROR(V25/SUM(V:V),V25)</f>
        <v>7.575757575757576E-2</v>
      </c>
      <c r="X25" s="7">
        <f ca="1">IFERROR(W25*Q26,W25)</f>
        <v>0</v>
      </c>
      <c r="Y25" s="134"/>
    </row>
    <row r="26" spans="1:25" x14ac:dyDescent="0.3">
      <c r="A26" s="64" t="s">
        <v>686</v>
      </c>
      <c r="B26" s="65" t="s">
        <v>682</v>
      </c>
      <c r="C26" s="71">
        <f>SUMIFS(Grille!R:R,Grille!A:A,Grille_HT5!A26,Grille!C:C,Grille_HT5!B26,Grille!G:G,"Majeur")</f>
        <v>16</v>
      </c>
      <c r="D26" s="71">
        <f ca="1">SUMIFS(Grille!Q:Q,Grille!A:A,Grille_HT5!A26,Grille!C:C,Grille_HT5!B26,Grille!G:G,"Majeur")</f>
        <v>16</v>
      </c>
      <c r="E26" s="71">
        <f ca="1">SUMIFS(Grille!N:N,Grille!A:A,Grille_HT5!A26,Grille!C:C,Grille_HT5!B26,Grille!G:G,"Majeur")</f>
        <v>0</v>
      </c>
      <c r="F26" s="72">
        <f t="shared" ca="1" si="0"/>
        <v>0</v>
      </c>
      <c r="G26" s="71">
        <f>SUMIFS(Grille!R:R,Grille!A:A,Grille_HT5!A26,Grille!C:C,Grille_HT5!B26,Grille!G:G,"Mineur")</f>
        <v>2</v>
      </c>
      <c r="H26" s="71">
        <f ca="1">SUMIFS(Grille!Q:Q,Grille!A:A,Grille_HT5!A26,Grille!C:C,Grille_HT5!B26,Grille!G:G,"Mineur")</f>
        <v>2</v>
      </c>
      <c r="I26" s="71">
        <f ca="1">SUMIFS(Grille!N:N,Grille!A:A,Grille_HT5!A26,Grille!C:C,Grille_HT5!B26,Grille!G:G,"Mineur")</f>
        <v>0</v>
      </c>
      <c r="J26" s="72">
        <f t="shared" ca="1" si="1"/>
        <v>0</v>
      </c>
      <c r="K26" s="71">
        <v>50</v>
      </c>
      <c r="L26" s="73">
        <f t="shared" ca="1" si="2"/>
        <v>0.5</v>
      </c>
      <c r="M26" s="73">
        <f t="shared" ca="1" si="3"/>
        <v>1</v>
      </c>
      <c r="N26" s="73">
        <f ca="1">IF(ISNUMBER(F26),F26*L26,F26)</f>
        <v>0</v>
      </c>
      <c r="O26" s="73">
        <f t="shared" ca="1" si="4"/>
        <v>0</v>
      </c>
      <c r="P26" s="73">
        <f ca="1">IF(ISNUMBER(J26),J26*M26,J26)</f>
        <v>0</v>
      </c>
      <c r="Q26" s="73">
        <f t="shared" ca="1" si="5"/>
        <v>0</v>
      </c>
      <c r="R26" s="77"/>
      <c r="S26" s="75"/>
      <c r="T26" s="75"/>
      <c r="U26" s="75"/>
      <c r="V26" s="76"/>
      <c r="W26" s="76"/>
      <c r="X26" s="76"/>
      <c r="Y26" s="134">
        <f>Y24+1</f>
        <v>18</v>
      </c>
    </row>
    <row r="27" spans="1:25" x14ac:dyDescent="0.3">
      <c r="A27" s="64" t="s">
        <v>686</v>
      </c>
      <c r="B27" s="65" t="s">
        <v>685</v>
      </c>
      <c r="C27" s="71">
        <f>SUMIFS(Grille!R:R,Grille!A:A,Grille_HT5!A27,Grille!C:C,Grille_HT5!B27,Grille!G:G,"Majeur")</f>
        <v>24</v>
      </c>
      <c r="D27" s="71">
        <f ca="1">SUMIFS(Grille!Q:Q,Grille!A:A,Grille_HT5!A27,Grille!C:C,Grille_HT5!B27,Grille!G:G,"Majeur")</f>
        <v>24</v>
      </c>
      <c r="E27" s="71">
        <f ca="1">SUMIFS(Grille!N:N,Grille!A:A,Grille_HT5!A27,Grille!C:C,Grille_HT5!B27,Grille!G:G,"Majeur")</f>
        <v>0</v>
      </c>
      <c r="F27" s="72">
        <f t="shared" ca="1" si="0"/>
        <v>0</v>
      </c>
      <c r="G27" s="71">
        <f>SUMIFS(Grille!R:R,Grille!A:A,Grille_HT5!A27,Grille!C:C,Grille_HT5!B27,Grille!G:G,"Mineur")</f>
        <v>0</v>
      </c>
      <c r="H27" s="71">
        <f>SUMIFS(Grille!Q:Q,Grille!A:A,Grille_HT5!A27,Grille!C:C,Grille_HT5!B27,Grille!G:G,"Mineur")</f>
        <v>0</v>
      </c>
      <c r="I27" s="71">
        <f>SUMIFS(Grille!N:N,Grille!A:A,Grille_HT5!A27,Grille!C:C,Grille_HT5!B27,Grille!G:G,"Mineur")</f>
        <v>0</v>
      </c>
      <c r="J27" s="72" t="str">
        <f t="shared" si="1"/>
        <v>Non appliqué</v>
      </c>
      <c r="K27" s="71">
        <v>50</v>
      </c>
      <c r="L27" s="73">
        <f t="shared" ca="1" si="2"/>
        <v>0.5</v>
      </c>
      <c r="M27" s="73" t="str">
        <f t="shared" si="3"/>
        <v>Non appliqué</v>
      </c>
      <c r="N27" s="73">
        <f ca="1">IF(ISNUMBER(F27),F27*L27,F27)</f>
        <v>0</v>
      </c>
      <c r="O27" s="73">
        <f t="shared" ca="1" si="4"/>
        <v>0</v>
      </c>
      <c r="P27" s="73" t="str">
        <f>IF(ISNUMBER(J27),J27*M27,J27)</f>
        <v>Non appliqué</v>
      </c>
      <c r="Q27" s="73">
        <f t="shared" ca="1" si="5"/>
        <v>0</v>
      </c>
      <c r="R27" s="77"/>
      <c r="S27" s="75"/>
      <c r="T27" s="75"/>
      <c r="U27" s="75"/>
      <c r="V27" s="76"/>
      <c r="W27" s="76"/>
      <c r="X27" s="76"/>
      <c r="Y27" s="134">
        <f t="shared" si="8"/>
        <v>19</v>
      </c>
    </row>
    <row r="28" spans="1:25" x14ac:dyDescent="0.3">
      <c r="A28" s="4"/>
      <c r="B28" s="4" t="s">
        <v>692</v>
      </c>
      <c r="C28" s="5"/>
      <c r="D28" s="5"/>
      <c r="E28" s="5"/>
      <c r="F28" s="5"/>
      <c r="G28" s="9"/>
      <c r="H28" s="9"/>
      <c r="I28" s="9"/>
      <c r="J28" s="6"/>
      <c r="K28" s="5"/>
      <c r="L28" s="5"/>
      <c r="M28" s="5"/>
      <c r="N28" s="6"/>
      <c r="O28" s="6"/>
      <c r="P28" s="6"/>
      <c r="Q28" s="6"/>
      <c r="R28" s="70">
        <v>3</v>
      </c>
      <c r="S28" s="7">
        <f t="shared" ca="1" si="6"/>
        <v>0.03</v>
      </c>
      <c r="T28" s="7">
        <f ca="1">IFERROR(S28/SUM(S:S),S28)</f>
        <v>3.5294117647058823E-2</v>
      </c>
      <c r="U28" s="7">
        <f ca="1">IFERROR(T28*O29,T28)</f>
        <v>0</v>
      </c>
      <c r="V28" s="7">
        <f t="shared" ca="1" si="7"/>
        <v>0.03</v>
      </c>
      <c r="W28" s="7">
        <f ca="1">IFERROR(V28/SUM(V:V),V28)</f>
        <v>3.0303030303030304E-2</v>
      </c>
      <c r="X28" s="7">
        <f ca="1">IFERROR(W28*Q29,W28)</f>
        <v>0</v>
      </c>
      <c r="Y28" s="134"/>
    </row>
    <row r="29" spans="1:25" x14ac:dyDescent="0.3">
      <c r="A29" s="64" t="s">
        <v>692</v>
      </c>
      <c r="B29" s="65" t="s">
        <v>682</v>
      </c>
      <c r="C29" s="71">
        <f>SUMIFS(Grille!R:R,Grille!A:A,Grille_HT5!A29,Grille!C:C,Grille_HT5!B29,Grille!G:G,"Majeur")</f>
        <v>16</v>
      </c>
      <c r="D29" s="71">
        <f ca="1">SUMIFS(Grille!Q:Q,Grille!A:A,Grille_HT5!A29,Grille!C:C,Grille_HT5!B29,Grille!G:G,"Majeur")</f>
        <v>16</v>
      </c>
      <c r="E29" s="71">
        <f ca="1">SUMIFS(Grille!N:N,Grille!A:A,Grille_HT5!A29,Grille!C:C,Grille_HT5!B29,Grille!G:G,"Majeur")</f>
        <v>0</v>
      </c>
      <c r="F29" s="72">
        <f t="shared" ca="1" si="0"/>
        <v>0</v>
      </c>
      <c r="G29" s="71">
        <f>SUMIFS(Grille!R:R,Grille!A:A,Grille_HT5!A29,Grille!C:C,Grille_HT5!B29,Grille!G:G,"Mineur")</f>
        <v>1</v>
      </c>
      <c r="H29" s="71">
        <f ca="1">SUMIFS(Grille!Q:Q,Grille!A:A,Grille_HT5!A29,Grille!C:C,Grille_HT5!B29,Grille!G:G,"Mineur")</f>
        <v>1</v>
      </c>
      <c r="I29" s="71">
        <f ca="1">SUMIFS(Grille!N:N,Grille!A:A,Grille_HT5!A29,Grille!C:C,Grille_HT5!B29,Grille!G:G,"Mineur")</f>
        <v>0</v>
      </c>
      <c r="J29" s="72">
        <f t="shared" ca="1" si="1"/>
        <v>0</v>
      </c>
      <c r="K29" s="71">
        <v>50</v>
      </c>
      <c r="L29" s="73">
        <f t="shared" ca="1" si="2"/>
        <v>0.5</v>
      </c>
      <c r="M29" s="73">
        <f t="shared" ca="1" si="3"/>
        <v>1</v>
      </c>
      <c r="N29" s="73">
        <f ca="1">IF(ISNUMBER(F29),F29*L29,F29)</f>
        <v>0</v>
      </c>
      <c r="O29" s="73">
        <f t="shared" ca="1" si="4"/>
        <v>0</v>
      </c>
      <c r="P29" s="73">
        <f ca="1">IF(ISNUMBER(J29),J29*M29,J29)</f>
        <v>0</v>
      </c>
      <c r="Q29" s="73">
        <f t="shared" ca="1" si="5"/>
        <v>0</v>
      </c>
      <c r="R29" s="77"/>
      <c r="S29" s="75"/>
      <c r="T29" s="75"/>
      <c r="U29" s="75"/>
      <c r="V29" s="76"/>
      <c r="W29" s="76"/>
      <c r="X29" s="76"/>
      <c r="Y29" s="134">
        <f>Y27+1</f>
        <v>20</v>
      </c>
    </row>
    <row r="30" spans="1:25" x14ac:dyDescent="0.3">
      <c r="A30" s="64" t="s">
        <v>692</v>
      </c>
      <c r="B30" s="65" t="s">
        <v>685</v>
      </c>
      <c r="C30" s="71">
        <f>SUMIFS(Grille!R:R,Grille!A:A,Grille_HT5!A30,Grille!C:C,Grille_HT5!B30,Grille!G:G,"Majeur")</f>
        <v>24</v>
      </c>
      <c r="D30" s="71">
        <f ca="1">SUMIFS(Grille!Q:Q,Grille!A:A,Grille_HT5!A30,Grille!C:C,Grille_HT5!B30,Grille!G:G,"Majeur")</f>
        <v>24</v>
      </c>
      <c r="E30" s="71">
        <f ca="1">SUMIFS(Grille!N:N,Grille!A:A,Grille_HT5!A30,Grille!C:C,Grille_HT5!B30,Grille!G:G,"Majeur")</f>
        <v>0</v>
      </c>
      <c r="F30" s="72">
        <f t="shared" ca="1" si="0"/>
        <v>0</v>
      </c>
      <c r="G30" s="71">
        <f>SUMIFS(Grille!R:R,Grille!A:A,Grille_HT5!A30,Grille!C:C,Grille_HT5!B30,Grille!G:G,"Mineur")</f>
        <v>0</v>
      </c>
      <c r="H30" s="71">
        <f>SUMIFS(Grille!Q:Q,Grille!A:A,Grille_HT5!A30,Grille!C:C,Grille_HT5!B30,Grille!G:G,"Mineur")</f>
        <v>0</v>
      </c>
      <c r="I30" s="71">
        <f>SUMIFS(Grille!N:N,Grille!A:A,Grille_HT5!A30,Grille!C:C,Grille_HT5!B30,Grille!G:G,"Mineur")</f>
        <v>0</v>
      </c>
      <c r="J30" s="72" t="str">
        <f t="shared" si="1"/>
        <v>Non appliqué</v>
      </c>
      <c r="K30" s="71">
        <v>50</v>
      </c>
      <c r="L30" s="73">
        <f t="shared" ca="1" si="2"/>
        <v>0.5</v>
      </c>
      <c r="M30" s="73" t="str">
        <f t="shared" si="3"/>
        <v>Non appliqué</v>
      </c>
      <c r="N30" s="73">
        <f ca="1">IF(ISNUMBER(F30),F30*L30,F30)</f>
        <v>0</v>
      </c>
      <c r="O30" s="73">
        <f t="shared" ca="1" si="4"/>
        <v>0</v>
      </c>
      <c r="P30" s="73" t="str">
        <f>IF(ISNUMBER(J30),J30*M30,J30)</f>
        <v>Non appliqué</v>
      </c>
      <c r="Q30" s="73">
        <f t="shared" ca="1" si="5"/>
        <v>0</v>
      </c>
      <c r="R30" s="77"/>
      <c r="S30" s="75"/>
      <c r="T30" s="75"/>
      <c r="U30" s="75"/>
      <c r="V30" s="76"/>
      <c r="W30" s="76"/>
      <c r="X30" s="76"/>
      <c r="Y30" s="134">
        <f t="shared" si="8"/>
        <v>21</v>
      </c>
    </row>
    <row r="31" spans="1:25" x14ac:dyDescent="0.3">
      <c r="A31" s="4"/>
      <c r="B31" s="4" t="str">
        <f>A32</f>
        <v>Bar</v>
      </c>
      <c r="C31" s="5"/>
      <c r="D31" s="5"/>
      <c r="E31" s="5"/>
      <c r="F31" s="5"/>
      <c r="G31" s="9"/>
      <c r="H31" s="9"/>
      <c r="I31" s="9"/>
      <c r="J31" s="6"/>
      <c r="K31" s="5"/>
      <c r="L31" s="5"/>
      <c r="M31" s="5"/>
      <c r="N31" s="6"/>
      <c r="O31" s="6"/>
      <c r="P31" s="6"/>
      <c r="Q31" s="6"/>
      <c r="R31" s="70">
        <v>5</v>
      </c>
      <c r="S31" s="7">
        <f t="shared" ca="1" si="6"/>
        <v>0.05</v>
      </c>
      <c r="T31" s="7">
        <f ca="1">IFERROR(S31/SUM(S:S),S31)</f>
        <v>5.8823529411764712E-2</v>
      </c>
      <c r="U31" s="7">
        <f ca="1">IFERROR(T31*O32,T31)</f>
        <v>0</v>
      </c>
      <c r="V31" s="7">
        <f t="shared" ca="1" si="7"/>
        <v>0.05</v>
      </c>
      <c r="W31" s="7">
        <f ca="1">IFERROR(V31/SUM(V:V),V31)</f>
        <v>5.0505050505050511E-2</v>
      </c>
      <c r="X31" s="7">
        <f ca="1">IFERROR(W31*Q32,W31)</f>
        <v>0</v>
      </c>
      <c r="Y31" s="134"/>
    </row>
    <row r="32" spans="1:25" x14ac:dyDescent="0.3">
      <c r="A32" s="64" t="s">
        <v>694</v>
      </c>
      <c r="B32" s="64" t="s">
        <v>682</v>
      </c>
      <c r="C32" s="71">
        <f>SUMIFS(Grille!R:R,Grille!A:A,Grille_HT5!A32,Grille!C:C,Grille_HT5!B32,Grille!G:G,"Majeur")</f>
        <v>15</v>
      </c>
      <c r="D32" s="71">
        <f ca="1">SUMIFS(Grille!Q:Q,Grille!A:A,Grille_HT5!A32,Grille!C:C,Grille_HT5!B32,Grille!G:G,"Majeur")</f>
        <v>15</v>
      </c>
      <c r="E32" s="71">
        <f ca="1">SUMIFS(Grille!N:N,Grille!A:A,Grille_HT5!A32,Grille!C:C,Grille_HT5!B32,Grille!G:G,"Majeur")</f>
        <v>0</v>
      </c>
      <c r="F32" s="72">
        <f t="shared" ca="1" si="0"/>
        <v>0</v>
      </c>
      <c r="G32" s="71">
        <f>SUMIFS(Grille!R:R,Grille!A:A,Grille_HT5!A32,Grille!C:C,Grille_HT5!B32,Grille!G:G,"Mineur")</f>
        <v>1</v>
      </c>
      <c r="H32" s="71">
        <f ca="1">SUMIFS(Grille!Q:Q,Grille!A:A,Grille_HT5!A32,Grille!C:C,Grille_HT5!B32,Grille!G:G,"Mineur")</f>
        <v>1</v>
      </c>
      <c r="I32" s="71">
        <f ca="1">SUMIFS(Grille!N:N,Grille!A:A,Grille_HT5!A32,Grille!C:C,Grille_HT5!B32,Grille!G:G,"Mineur")</f>
        <v>0</v>
      </c>
      <c r="J32" s="72">
        <f t="shared" ca="1" si="1"/>
        <v>0</v>
      </c>
      <c r="K32" s="71">
        <v>50</v>
      </c>
      <c r="L32" s="73">
        <f t="shared" ca="1" si="2"/>
        <v>0.5</v>
      </c>
      <c r="M32" s="73">
        <f t="shared" ca="1" si="3"/>
        <v>1</v>
      </c>
      <c r="N32" s="73">
        <f ca="1">IF(ISNUMBER(F32),F32*L32,F32)</f>
        <v>0</v>
      </c>
      <c r="O32" s="73">
        <f t="shared" ca="1" si="4"/>
        <v>0</v>
      </c>
      <c r="P32" s="73">
        <f ca="1">IF(ISNUMBER(J32),J32*M32,J32)</f>
        <v>0</v>
      </c>
      <c r="Q32" s="73">
        <f t="shared" ca="1" si="5"/>
        <v>0</v>
      </c>
      <c r="R32" s="77"/>
      <c r="S32" s="75"/>
      <c r="T32" s="75"/>
      <c r="U32" s="75"/>
      <c r="V32" s="76"/>
      <c r="W32" s="76"/>
      <c r="X32" s="76"/>
      <c r="Y32" s="134">
        <f>Y30+1</f>
        <v>22</v>
      </c>
    </row>
    <row r="33" spans="1:25" x14ac:dyDescent="0.3">
      <c r="A33" s="64" t="s">
        <v>694</v>
      </c>
      <c r="B33" s="64" t="s">
        <v>685</v>
      </c>
      <c r="C33" s="71">
        <f>SUMIFS(Grille!R:R,Grille!A:A,Grille_HT5!A33,Grille!C:C,Grille_HT5!B33,Grille!G:G,"Majeur")</f>
        <v>41</v>
      </c>
      <c r="D33" s="71">
        <f ca="1">SUMIFS(Grille!Q:Q,Grille!A:A,Grille_HT5!A33,Grille!C:C,Grille_HT5!B33,Grille!G:G,"Majeur")</f>
        <v>41</v>
      </c>
      <c r="E33" s="71">
        <f ca="1">SUMIFS(Grille!N:N,Grille!A:A,Grille_HT5!A33,Grille!C:C,Grille_HT5!B33,Grille!G:G,"Majeur")</f>
        <v>0</v>
      </c>
      <c r="F33" s="72">
        <f t="shared" ca="1" si="0"/>
        <v>0</v>
      </c>
      <c r="G33" s="71">
        <f>SUMIFS(Grille!R:R,Grille!A:A,Grille_HT5!A33,Grille!C:C,Grille_HT5!B33,Grille!G:G,"Mineur")</f>
        <v>0</v>
      </c>
      <c r="H33" s="71">
        <f>SUMIFS(Grille!Q:Q,Grille!A:A,Grille_HT5!A33,Grille!C:C,Grille_HT5!B33,Grille!G:G,"Mineur")</f>
        <v>0</v>
      </c>
      <c r="I33" s="71">
        <f>SUMIFS(Grille!N:N,Grille!A:A,Grille_HT5!A33,Grille!C:C,Grille_HT5!B33,Grille!G:G,"Mineur")</f>
        <v>0</v>
      </c>
      <c r="J33" s="72" t="str">
        <f t="shared" si="1"/>
        <v>Non appliqué</v>
      </c>
      <c r="K33" s="71">
        <v>50</v>
      </c>
      <c r="L33" s="73">
        <f t="shared" ca="1" si="2"/>
        <v>0.5</v>
      </c>
      <c r="M33" s="73" t="str">
        <f t="shared" si="3"/>
        <v>Non appliqué</v>
      </c>
      <c r="N33" s="73">
        <f ca="1">IF(ISNUMBER(F33),F33*L33,F33)</f>
        <v>0</v>
      </c>
      <c r="O33" s="73">
        <f t="shared" ca="1" si="4"/>
        <v>0</v>
      </c>
      <c r="P33" s="73" t="str">
        <f>IF(ISNUMBER(J33),J33*M33,J33)</f>
        <v>Non appliqué</v>
      </c>
      <c r="Q33" s="73">
        <f t="shared" ca="1" si="5"/>
        <v>0</v>
      </c>
      <c r="R33" s="77"/>
      <c r="S33" s="75"/>
      <c r="T33" s="75"/>
      <c r="U33" s="75"/>
      <c r="V33" s="76"/>
      <c r="W33" s="76"/>
      <c r="X33" s="76"/>
      <c r="Y33" s="134">
        <f t="shared" si="8"/>
        <v>23</v>
      </c>
    </row>
    <row r="34" spans="1:25" ht="25.2" x14ac:dyDescent="0.3">
      <c r="A34" s="4"/>
      <c r="B34" s="4" t="s">
        <v>699</v>
      </c>
      <c r="C34" s="5"/>
      <c r="D34" s="5"/>
      <c r="E34" s="5"/>
      <c r="F34" s="5"/>
      <c r="G34" s="9"/>
      <c r="H34" s="9"/>
      <c r="I34" s="9"/>
      <c r="J34" s="6"/>
      <c r="K34" s="5"/>
      <c r="L34" s="5"/>
      <c r="M34" s="5"/>
      <c r="N34" s="6"/>
      <c r="O34" s="6"/>
      <c r="P34" s="6"/>
      <c r="Q34" s="6"/>
      <c r="R34" s="70">
        <v>5</v>
      </c>
      <c r="S34" s="7" t="str">
        <f t="shared" si="6"/>
        <v>Non appliqué</v>
      </c>
      <c r="T34" s="7" t="str">
        <f ca="1">IFERROR(S34/SUM(S:S),S34)</f>
        <v>Non appliqué</v>
      </c>
      <c r="U34" s="7" t="str">
        <f ca="1">IFERROR(T34*O35,T34)</f>
        <v>Non appliqué</v>
      </c>
      <c r="V34" s="7">
        <f t="shared" ca="1" si="7"/>
        <v>0.05</v>
      </c>
      <c r="W34" s="7">
        <f ca="1">IFERROR(V34/SUM(V:V),V34)</f>
        <v>5.0505050505050511E-2</v>
      </c>
      <c r="X34" s="7">
        <f ca="1">IFERROR(W34*Q35,W34)</f>
        <v>0</v>
      </c>
      <c r="Y34" s="134"/>
    </row>
    <row r="35" spans="1:25" ht="25.2" x14ac:dyDescent="0.3">
      <c r="A35" s="64" t="s">
        <v>699</v>
      </c>
      <c r="B35" s="64" t="s">
        <v>701</v>
      </c>
      <c r="C35" s="71">
        <f>SUMIFS(Grille!R:R,Grille!A:A,Grille_HT5!A35,Grille!C:C,Grille_HT5!B35,Grille!G:G,"Majeur")</f>
        <v>0</v>
      </c>
      <c r="D35" s="71">
        <f>SUMIFS(Grille!Q:Q,Grille!A:A,Grille_HT5!A35,Grille!C:C,Grille_HT5!B35,Grille!G:G,"Majeur")</f>
        <v>0</v>
      </c>
      <c r="E35" s="71">
        <f>SUMIFS(Grille!N:N,Grille!A:A,Grille_HT5!A35,Grille!C:C,Grille_HT5!B35,Grille!G:G,"Majeur")</f>
        <v>0</v>
      </c>
      <c r="F35" s="72" t="str">
        <f t="shared" si="0"/>
        <v>Non appliqué</v>
      </c>
      <c r="G35" s="71">
        <f>SUMIFS(Grille!R:R,Grille!A:A,Grille_HT5!A35,Grille!C:C,Grille_HT5!B35,Grille!G:G,"Mineur")</f>
        <v>12</v>
      </c>
      <c r="H35" s="71">
        <f ca="1">SUMIFS(Grille!Q:Q,Grille!A:A,Grille_HT5!A35,Grille!C:C,Grille_HT5!B35,Grille!G:G,"Mineur")</f>
        <v>12</v>
      </c>
      <c r="I35" s="71">
        <f ca="1">SUMIFS(Grille!N:N,Grille!A:A,Grille_HT5!A35,Grille!C:C,Grille_HT5!B35,Grille!G:G,"Mineur")</f>
        <v>0</v>
      </c>
      <c r="J35" s="72">
        <f t="shared" ca="1" si="1"/>
        <v>0</v>
      </c>
      <c r="K35" s="71">
        <v>40</v>
      </c>
      <c r="L35" s="73" t="str">
        <f t="shared" si="2"/>
        <v>Non appliqué</v>
      </c>
      <c r="M35" s="73">
        <f t="shared" ca="1" si="3"/>
        <v>0.32520325203252032</v>
      </c>
      <c r="N35" s="73" t="str">
        <f>IF(ISNUMBER(F35),F35*L35,F35)</f>
        <v>Non appliqué</v>
      </c>
      <c r="O35" s="73" t="str">
        <f t="shared" si="4"/>
        <v>Non appliqué</v>
      </c>
      <c r="P35" s="73">
        <f ca="1">IF(ISNUMBER(J35),J35*M35,J35)</f>
        <v>0</v>
      </c>
      <c r="Q35" s="73">
        <f t="shared" ca="1" si="5"/>
        <v>0</v>
      </c>
      <c r="R35" s="77"/>
      <c r="S35" s="75"/>
      <c r="T35" s="75"/>
      <c r="U35" s="75"/>
      <c r="V35" s="76"/>
      <c r="W35" s="76"/>
      <c r="X35" s="76"/>
      <c r="Y35" s="134">
        <f>Y33+1</f>
        <v>24</v>
      </c>
    </row>
    <row r="36" spans="1:25" ht="25.2" x14ac:dyDescent="0.3">
      <c r="A36" s="64" t="s">
        <v>699</v>
      </c>
      <c r="B36" s="64" t="s">
        <v>702</v>
      </c>
      <c r="C36" s="71">
        <f>SUMIFS(Grille!R:R,Grille!A:A,Grille_HT5!A36,Grille!C:C,Grille_HT5!B36,Grille!G:G,"Majeur")</f>
        <v>0</v>
      </c>
      <c r="D36" s="71">
        <f>SUMIFS(Grille!Q:Q,Grille!A:A,Grille_HT5!A36,Grille!C:C,Grille_HT5!B36,Grille!G:G,"Majeur")</f>
        <v>0</v>
      </c>
      <c r="E36" s="71">
        <f>SUMIFS(Grille!N:N,Grille!A:A,Grille_HT5!A36,Grille!C:C,Grille_HT5!B36,Grille!G:G,"Majeur")</f>
        <v>0</v>
      </c>
      <c r="F36" s="72" t="str">
        <f t="shared" si="0"/>
        <v>Non appliqué</v>
      </c>
      <c r="G36" s="71">
        <f>SUMIFS(Grille!R:R,Grille!A:A,Grille_HT5!A36,Grille!C:C,Grille_HT5!B36,Grille!G:G,"Mineur")</f>
        <v>12</v>
      </c>
      <c r="H36" s="71">
        <f ca="1">SUMIFS(Grille!Q:Q,Grille!A:A,Grille_HT5!A36,Grille!C:C,Grille_HT5!B36,Grille!G:G,"Mineur")</f>
        <v>12</v>
      </c>
      <c r="I36" s="71">
        <f ca="1">SUMIFS(Grille!N:N,Grille!A:A,Grille_HT5!A36,Grille!C:C,Grille_HT5!B36,Grille!G:G,"Mineur")</f>
        <v>0</v>
      </c>
      <c r="J36" s="72">
        <f t="shared" ca="1" si="1"/>
        <v>0</v>
      </c>
      <c r="K36" s="71">
        <v>41</v>
      </c>
      <c r="L36" s="73" t="str">
        <f t="shared" si="2"/>
        <v>Non appliqué</v>
      </c>
      <c r="M36" s="73">
        <f t="shared" ca="1" si="3"/>
        <v>0.33333333333333331</v>
      </c>
      <c r="N36" s="73" t="str">
        <f>IF(ISNUMBER(F36),F36*L36,F36)</f>
        <v>Non appliqué</v>
      </c>
      <c r="O36" s="73" t="str">
        <f t="shared" si="4"/>
        <v>Non appliqué</v>
      </c>
      <c r="P36" s="73">
        <f ca="1">IF(ISNUMBER(J36),J36*M36,J36)</f>
        <v>0</v>
      </c>
      <c r="Q36" s="73">
        <f t="shared" ca="1" si="5"/>
        <v>0</v>
      </c>
      <c r="R36" s="77"/>
      <c r="S36" s="75"/>
      <c r="T36" s="75"/>
      <c r="U36" s="75"/>
      <c r="V36" s="76"/>
      <c r="W36" s="76"/>
      <c r="X36" s="76"/>
      <c r="Y36" s="134">
        <f t="shared" si="8"/>
        <v>25</v>
      </c>
    </row>
    <row r="37" spans="1:25" ht="25.2" x14ac:dyDescent="0.3">
      <c r="A37" s="64" t="s">
        <v>699</v>
      </c>
      <c r="B37" s="64" t="s">
        <v>703</v>
      </c>
      <c r="C37" s="71">
        <f>SUMIFS(Grille!R:R,Grille!A:A,Grille_HT5!A37,Grille!C:C,Grille_HT5!B37,Grille!G:G,"Majeur")</f>
        <v>0</v>
      </c>
      <c r="D37" s="71">
        <f>SUMIFS(Grille!Q:Q,Grille!A:A,Grille_HT5!A37,Grille!C:C,Grille_HT5!B37,Grille!G:G,"Majeur")</f>
        <v>0</v>
      </c>
      <c r="E37" s="71">
        <f>SUMIFS(Grille!N:N,Grille!A:A,Grille_HT5!A37,Grille!C:C,Grille_HT5!B37,Grille!G:G,"Majeur")</f>
        <v>0</v>
      </c>
      <c r="F37" s="72" t="str">
        <f t="shared" si="0"/>
        <v>Non appliqué</v>
      </c>
      <c r="G37" s="71">
        <f>SUMIFS(Grille!R:R,Grille!A:A,Grille_HT5!A37,Grille!C:C,Grille_HT5!B37,Grille!G:G,"Mineur")</f>
        <v>14</v>
      </c>
      <c r="H37" s="71">
        <f ca="1">SUMIFS(Grille!Q:Q,Grille!A:A,Grille_HT5!A37,Grille!C:C,Grille_HT5!B37,Grille!G:G,"Mineur")</f>
        <v>14</v>
      </c>
      <c r="I37" s="71">
        <f ca="1">SUMIFS(Grille!N:N,Grille!A:A,Grille_HT5!A37,Grille!C:C,Grille_HT5!B37,Grille!G:G,"Mineur")</f>
        <v>0</v>
      </c>
      <c r="J37" s="72">
        <f t="shared" ca="1" si="1"/>
        <v>0</v>
      </c>
      <c r="K37" s="71">
        <v>42</v>
      </c>
      <c r="L37" s="73" t="str">
        <f t="shared" si="2"/>
        <v>Non appliqué</v>
      </c>
      <c r="M37" s="73">
        <f t="shared" ca="1" si="3"/>
        <v>0.34146341463414637</v>
      </c>
      <c r="N37" s="73" t="str">
        <f>IF(ISNUMBER(F37),F37*L37,F37)</f>
        <v>Non appliqué</v>
      </c>
      <c r="O37" s="73" t="str">
        <f t="shared" si="4"/>
        <v>Non appliqué</v>
      </c>
      <c r="P37" s="73">
        <f ca="1">IF(ISNUMBER(J37),J37*M37,J37)</f>
        <v>0</v>
      </c>
      <c r="Q37" s="73">
        <f t="shared" ca="1" si="5"/>
        <v>0</v>
      </c>
      <c r="R37" s="77"/>
      <c r="S37" s="75"/>
      <c r="T37" s="75"/>
      <c r="U37" s="75"/>
      <c r="V37" s="76"/>
      <c r="W37" s="76"/>
      <c r="X37" s="76"/>
      <c r="Y37" s="134">
        <f t="shared" si="8"/>
        <v>26</v>
      </c>
    </row>
    <row r="38" spans="1:25" x14ac:dyDescent="0.3">
      <c r="A38" s="4"/>
      <c r="B38" s="4" t="str">
        <f>A39</f>
        <v>Bien-être et fitness</v>
      </c>
      <c r="C38" s="5"/>
      <c r="D38" s="5"/>
      <c r="E38" s="5"/>
      <c r="F38" s="5"/>
      <c r="G38" s="9"/>
      <c r="H38" s="9"/>
      <c r="I38" s="9"/>
      <c r="J38" s="6"/>
      <c r="K38" s="5"/>
      <c r="L38" s="5"/>
      <c r="M38" s="5"/>
      <c r="N38" s="6"/>
      <c r="O38" s="6"/>
      <c r="P38" s="6"/>
      <c r="Q38" s="6"/>
      <c r="R38" s="70">
        <v>5</v>
      </c>
      <c r="S38" s="7">
        <f t="shared" ca="1" si="6"/>
        <v>0.05</v>
      </c>
      <c r="T38" s="7">
        <f ca="1">IFERROR(S38/SUM(S:S),S38)</f>
        <v>5.8823529411764712E-2</v>
      </c>
      <c r="U38" s="7">
        <f ca="1">IFERROR(T38*O39,T38)</f>
        <v>0</v>
      </c>
      <c r="V38" s="7">
        <f t="shared" ca="1" si="7"/>
        <v>0.05</v>
      </c>
      <c r="W38" s="7">
        <f ca="1">IFERROR(V38/SUM(V:V),V38)</f>
        <v>5.0505050505050511E-2</v>
      </c>
      <c r="X38" s="7">
        <f ca="1">IFERROR(W38*Q39,W38)</f>
        <v>0</v>
      </c>
      <c r="Y38" s="134"/>
    </row>
    <row r="39" spans="1:25" x14ac:dyDescent="0.3">
      <c r="A39" s="64" t="s">
        <v>704</v>
      </c>
      <c r="B39" s="64" t="s">
        <v>706</v>
      </c>
      <c r="C39" s="71">
        <f>SUMIFS(Grille!R:R,Grille!A:A,Grille_HT5!A39,Grille!C:C,Grille_HT5!B39,Grille!G:G,"Majeur")</f>
        <v>0</v>
      </c>
      <c r="D39" s="71">
        <f>SUMIFS(Grille!Q:Q,Grille!A:A,Grille_HT5!A39,Grille!C:C,Grille_HT5!B39,Grille!G:G,"Majeur")</f>
        <v>0</v>
      </c>
      <c r="E39" s="71">
        <f>SUMIFS(Grille!N:N,Grille!A:A,Grille_HT5!A39,Grille!C:C,Grille_HT5!B39,Grille!G:G,"Majeur")</f>
        <v>0</v>
      </c>
      <c r="F39" s="72" t="str">
        <f t="shared" si="0"/>
        <v>Non appliqué</v>
      </c>
      <c r="G39" s="71">
        <f>SUMIFS(Grille!R:R,Grille!A:A,Grille_HT5!A39,Grille!C:C,Grille_HT5!B39,Grille!G:G,"Mineur")</f>
        <v>7</v>
      </c>
      <c r="H39" s="71">
        <f ca="1">SUMIFS(Grille!Q:Q,Grille!A:A,Grille_HT5!A39,Grille!C:C,Grille_HT5!B39,Grille!G:G,"Mineur")</f>
        <v>7</v>
      </c>
      <c r="I39" s="71">
        <f ca="1">SUMIFS(Grille!N:N,Grille!A:A,Grille_HT5!A39,Grille!C:C,Grille_HT5!B39,Grille!G:G,"Mineur")</f>
        <v>0</v>
      </c>
      <c r="J39" s="72">
        <f t="shared" ca="1" si="1"/>
        <v>0</v>
      </c>
      <c r="K39" s="71">
        <v>10</v>
      </c>
      <c r="L39" s="73" t="str">
        <f t="shared" si="2"/>
        <v>Non appliqué</v>
      </c>
      <c r="M39" s="73">
        <f t="shared" ca="1" si="3"/>
        <v>0.13333333333333333</v>
      </c>
      <c r="N39" s="73" t="str">
        <f t="shared" ref="N39:N46" si="9">IF(ISNUMBER(F39),F39*L39,F39)</f>
        <v>Non appliqué</v>
      </c>
      <c r="O39" s="73">
        <f t="shared" ca="1" si="4"/>
        <v>0</v>
      </c>
      <c r="P39" s="73">
        <f t="shared" ref="P39:P46" ca="1" si="10">IF(ISNUMBER(J39),J39*M39,J39)</f>
        <v>0</v>
      </c>
      <c r="Q39" s="73">
        <f t="shared" ca="1" si="5"/>
        <v>0</v>
      </c>
      <c r="R39" s="77"/>
      <c r="S39" s="75"/>
      <c r="T39" s="75"/>
      <c r="U39" s="75"/>
      <c r="V39" s="76"/>
      <c r="W39" s="76"/>
      <c r="X39" s="76"/>
      <c r="Y39" s="134">
        <f>Y37+1</f>
        <v>27</v>
      </c>
    </row>
    <row r="40" spans="1:25" x14ac:dyDescent="0.3">
      <c r="A40" s="64" t="s">
        <v>704</v>
      </c>
      <c r="B40" s="64" t="s">
        <v>707</v>
      </c>
      <c r="C40" s="71">
        <f>SUMIFS(Grille!R:R,Grille!A:A,Grille_HT5!A40,Grille!C:C,Grille_HT5!B40,Grille!G:G,"Majeur")</f>
        <v>0</v>
      </c>
      <c r="D40" s="71">
        <f>SUMIFS(Grille!Q:Q,Grille!A:A,Grille_HT5!A40,Grille!C:C,Grille_HT5!B40,Grille!G:G,"Majeur")</f>
        <v>0</v>
      </c>
      <c r="E40" s="71">
        <f>SUMIFS(Grille!N:N,Grille!A:A,Grille_HT5!A40,Grille!C:C,Grille_HT5!B40,Grille!G:G,"Majeur")</f>
        <v>0</v>
      </c>
      <c r="F40" s="72" t="str">
        <f t="shared" si="0"/>
        <v>Non appliqué</v>
      </c>
      <c r="G40" s="71">
        <f>SUMIFS(Grille!R:R,Grille!A:A,Grille_HT5!A40,Grille!C:C,Grille_HT5!B40,Grille!G:G,"Mineur")</f>
        <v>8</v>
      </c>
      <c r="H40" s="71">
        <f ca="1">SUMIFS(Grille!Q:Q,Grille!A:A,Grille_HT5!A40,Grille!C:C,Grille_HT5!B40,Grille!G:G,"Mineur")</f>
        <v>8</v>
      </c>
      <c r="I40" s="71">
        <f ca="1">SUMIFS(Grille!N:N,Grille!A:A,Grille_HT5!A40,Grille!C:C,Grille_HT5!B40,Grille!G:G,"Mineur")</f>
        <v>0</v>
      </c>
      <c r="J40" s="72">
        <f t="shared" ca="1" si="1"/>
        <v>0</v>
      </c>
      <c r="K40" s="71">
        <v>10</v>
      </c>
      <c r="L40" s="73" t="str">
        <f t="shared" si="2"/>
        <v>Non appliqué</v>
      </c>
      <c r="M40" s="73">
        <f t="shared" ca="1" si="3"/>
        <v>0.13333333333333333</v>
      </c>
      <c r="N40" s="73" t="str">
        <f t="shared" si="9"/>
        <v>Non appliqué</v>
      </c>
      <c r="O40" s="73">
        <f t="shared" ca="1" si="4"/>
        <v>0</v>
      </c>
      <c r="P40" s="73">
        <f t="shared" ca="1" si="10"/>
        <v>0</v>
      </c>
      <c r="Q40" s="73">
        <f t="shared" ca="1" si="5"/>
        <v>0</v>
      </c>
      <c r="R40" s="77"/>
      <c r="S40" s="75"/>
      <c r="T40" s="75"/>
      <c r="U40" s="75"/>
      <c r="V40" s="76"/>
      <c r="W40" s="76"/>
      <c r="X40" s="76"/>
      <c r="Y40" s="134">
        <f t="shared" si="8"/>
        <v>28</v>
      </c>
    </row>
    <row r="41" spans="1:25" x14ac:dyDescent="0.3">
      <c r="A41" s="64" t="s">
        <v>704</v>
      </c>
      <c r="B41" s="64" t="s">
        <v>709</v>
      </c>
      <c r="C41" s="71">
        <f>SUMIFS(Grille!R:R,Grille!A:A,Grille_HT5!A41,Grille!C:C,Grille_HT5!B41,Grille!G:G,"Majeur")</f>
        <v>0</v>
      </c>
      <c r="D41" s="71">
        <f>SUMIFS(Grille!Q:Q,Grille!A:A,Grille_HT5!A41,Grille!C:C,Grille_HT5!B41,Grille!G:G,"Majeur")</f>
        <v>0</v>
      </c>
      <c r="E41" s="71">
        <f>SUMIFS(Grille!N:N,Grille!A:A,Grille_HT5!A41,Grille!C:C,Grille_HT5!B41,Grille!G:G,"Majeur")</f>
        <v>0</v>
      </c>
      <c r="F41" s="72" t="str">
        <f t="shared" si="0"/>
        <v>Non appliqué</v>
      </c>
      <c r="G41" s="71">
        <f>SUMIFS(Grille!R:R,Grille!A:A,Grille_HT5!A41,Grille!C:C,Grille_HT5!B41,Grille!G:G,"Mineur")</f>
        <v>8</v>
      </c>
      <c r="H41" s="71">
        <f ca="1">SUMIFS(Grille!Q:Q,Grille!A:A,Grille_HT5!A41,Grille!C:C,Grille_HT5!B41,Grille!G:G,"Mineur")</f>
        <v>8</v>
      </c>
      <c r="I41" s="71">
        <f ca="1">SUMIFS(Grille!N:N,Grille!A:A,Grille_HT5!A41,Grille!C:C,Grille_HT5!B41,Grille!G:G,"Mineur")</f>
        <v>0</v>
      </c>
      <c r="J41" s="72">
        <f t="shared" ca="1" si="1"/>
        <v>0</v>
      </c>
      <c r="K41" s="71">
        <v>10</v>
      </c>
      <c r="L41" s="73" t="str">
        <f t="shared" si="2"/>
        <v>Non appliqué</v>
      </c>
      <c r="M41" s="73">
        <f t="shared" ca="1" si="3"/>
        <v>0.13333333333333333</v>
      </c>
      <c r="N41" s="73" t="str">
        <f t="shared" si="9"/>
        <v>Non appliqué</v>
      </c>
      <c r="O41" s="73">
        <f t="shared" ca="1" si="4"/>
        <v>0</v>
      </c>
      <c r="P41" s="73">
        <f t="shared" ca="1" si="10"/>
        <v>0</v>
      </c>
      <c r="Q41" s="73">
        <f t="shared" ca="1" si="5"/>
        <v>0</v>
      </c>
      <c r="R41" s="77"/>
      <c r="S41" s="75"/>
      <c r="T41" s="75"/>
      <c r="U41" s="75"/>
      <c r="V41" s="76"/>
      <c r="W41" s="76"/>
      <c r="X41" s="76"/>
      <c r="Y41" s="134">
        <f t="shared" si="8"/>
        <v>29</v>
      </c>
    </row>
    <row r="42" spans="1:25" x14ac:dyDescent="0.3">
      <c r="A42" s="64" t="s">
        <v>704</v>
      </c>
      <c r="B42" s="64" t="s">
        <v>710</v>
      </c>
      <c r="C42" s="71">
        <f>SUMIFS(Grille!R:R,Grille!A:A,Grille_HT5!A42,Grille!C:C,Grille_HT5!B42,Grille!G:G,"Majeur")</f>
        <v>0</v>
      </c>
      <c r="D42" s="71">
        <f>SUMIFS(Grille!Q:Q,Grille!A:A,Grille_HT5!A42,Grille!C:C,Grille_HT5!B42,Grille!G:G,"Majeur")</f>
        <v>0</v>
      </c>
      <c r="E42" s="71">
        <f>SUMIFS(Grille!N:N,Grille!A:A,Grille_HT5!A42,Grille!C:C,Grille_HT5!B42,Grille!G:G,"Majeur")</f>
        <v>0</v>
      </c>
      <c r="F42" s="72" t="str">
        <f t="shared" si="0"/>
        <v>Non appliqué</v>
      </c>
      <c r="G42" s="71">
        <f>SUMIFS(Grille!R:R,Grille!A:A,Grille_HT5!A42,Grille!C:C,Grille_HT5!B42,Grille!G:G,"Mineur")</f>
        <v>11</v>
      </c>
      <c r="H42" s="71">
        <f ca="1">SUMIFS(Grille!Q:Q,Grille!A:A,Grille_HT5!A42,Grille!C:C,Grille_HT5!B42,Grille!G:G,"Mineur")</f>
        <v>11</v>
      </c>
      <c r="I42" s="71">
        <f ca="1">SUMIFS(Grille!N:N,Grille!A:A,Grille_HT5!A42,Grille!C:C,Grille_HT5!B42,Grille!G:G,"Mineur")</f>
        <v>0</v>
      </c>
      <c r="J42" s="72">
        <f t="shared" ca="1" si="1"/>
        <v>0</v>
      </c>
      <c r="K42" s="71">
        <v>15</v>
      </c>
      <c r="L42" s="73" t="str">
        <f t="shared" si="2"/>
        <v>Non appliqué</v>
      </c>
      <c r="M42" s="73">
        <f t="shared" ca="1" si="3"/>
        <v>0.2</v>
      </c>
      <c r="N42" s="73" t="str">
        <f t="shared" si="9"/>
        <v>Non appliqué</v>
      </c>
      <c r="O42" s="73">
        <f t="shared" ca="1" si="4"/>
        <v>0</v>
      </c>
      <c r="P42" s="73">
        <f t="shared" ca="1" si="10"/>
        <v>0</v>
      </c>
      <c r="Q42" s="73">
        <f t="shared" ca="1" si="5"/>
        <v>0</v>
      </c>
      <c r="R42" s="77"/>
      <c r="S42" s="75"/>
      <c r="T42" s="75"/>
      <c r="U42" s="75"/>
      <c r="V42" s="76"/>
      <c r="W42" s="76"/>
      <c r="X42" s="76"/>
      <c r="Y42" s="134">
        <f t="shared" si="8"/>
        <v>30</v>
      </c>
    </row>
    <row r="43" spans="1:25" x14ac:dyDescent="0.3">
      <c r="A43" s="64" t="s">
        <v>704</v>
      </c>
      <c r="B43" s="64" t="s">
        <v>712</v>
      </c>
      <c r="C43" s="71">
        <f>SUMIFS(Grille!R:R,Grille!A:A,Grille_HT5!A43,Grille!C:C,Grille_HT5!B43,Grille!G:G,"Majeur")</f>
        <v>0</v>
      </c>
      <c r="D43" s="71">
        <f>SUMIFS(Grille!Q:Q,Grille!A:A,Grille_HT5!A43,Grille!C:C,Grille_HT5!B43,Grille!G:G,"Majeur")</f>
        <v>0</v>
      </c>
      <c r="E43" s="71">
        <f>SUMIFS(Grille!N:N,Grille!A:A,Grille_HT5!A43,Grille!C:C,Grille_HT5!B43,Grille!G:G,"Majeur")</f>
        <v>0</v>
      </c>
      <c r="F43" s="72" t="str">
        <f t="shared" si="0"/>
        <v>Non appliqué</v>
      </c>
      <c r="G43" s="71">
        <f>SUMIFS(Grille!R:R,Grille!A:A,Grille_HT5!A43,Grille!C:C,Grille_HT5!B43,Grille!G:G,"Mineur")</f>
        <v>8</v>
      </c>
      <c r="H43" s="71">
        <f ca="1">SUMIFS(Grille!Q:Q,Grille!A:A,Grille_HT5!A43,Grille!C:C,Grille_HT5!B43,Grille!G:G,"Mineur")</f>
        <v>8</v>
      </c>
      <c r="I43" s="71">
        <f ca="1">SUMIFS(Grille!N:N,Grille!A:A,Grille_HT5!A43,Grille!C:C,Grille_HT5!B43,Grille!G:G,"Mineur")</f>
        <v>0</v>
      </c>
      <c r="J43" s="72">
        <f t="shared" ca="1" si="1"/>
        <v>0</v>
      </c>
      <c r="K43" s="71">
        <v>5</v>
      </c>
      <c r="L43" s="73" t="str">
        <f t="shared" si="2"/>
        <v>Non appliqué</v>
      </c>
      <c r="M43" s="73">
        <f t="shared" ca="1" si="3"/>
        <v>6.6666666666666666E-2</v>
      </c>
      <c r="N43" s="73" t="str">
        <f t="shared" si="9"/>
        <v>Non appliqué</v>
      </c>
      <c r="O43" s="73">
        <f t="shared" ca="1" si="4"/>
        <v>0</v>
      </c>
      <c r="P43" s="73">
        <f t="shared" ca="1" si="10"/>
        <v>0</v>
      </c>
      <c r="Q43" s="73">
        <f t="shared" ca="1" si="5"/>
        <v>0</v>
      </c>
      <c r="R43" s="77"/>
      <c r="S43" s="75"/>
      <c r="T43" s="75"/>
      <c r="U43" s="75"/>
      <c r="V43" s="76"/>
      <c r="W43" s="76"/>
      <c r="X43" s="76"/>
      <c r="Y43" s="134">
        <f t="shared" si="8"/>
        <v>31</v>
      </c>
    </row>
    <row r="44" spans="1:25" x14ac:dyDescent="0.3">
      <c r="A44" s="64" t="s">
        <v>704</v>
      </c>
      <c r="B44" s="64" t="s">
        <v>715</v>
      </c>
      <c r="C44" s="71">
        <f>SUMIFS(Grille!R:R,Grille!A:A,Grille_HT5!A44,Grille!C:C,Grille_HT5!B44,Grille!G:G,"Majeur")</f>
        <v>0</v>
      </c>
      <c r="D44" s="71">
        <f>SUMIFS(Grille!Q:Q,Grille!A:A,Grille_HT5!A44,Grille!C:C,Grille_HT5!B44,Grille!G:G,"Majeur")</f>
        <v>0</v>
      </c>
      <c r="E44" s="71">
        <f>SUMIFS(Grille!N:N,Grille!A:A,Grille_HT5!A44,Grille!C:C,Grille_HT5!B44,Grille!G:G,"Majeur")</f>
        <v>0</v>
      </c>
      <c r="F44" s="72" t="str">
        <f t="shared" si="0"/>
        <v>Non appliqué</v>
      </c>
      <c r="G44" s="71">
        <f>SUMIFS(Grille!R:R,Grille!A:A,Grille_HT5!A44,Grille!C:C,Grille_HT5!B44,Grille!G:G,"Mineur")</f>
        <v>11</v>
      </c>
      <c r="H44" s="71">
        <f ca="1">SUMIFS(Grille!Q:Q,Grille!A:A,Grille_HT5!A44,Grille!C:C,Grille_HT5!B44,Grille!G:G,"Mineur")</f>
        <v>11</v>
      </c>
      <c r="I44" s="71">
        <f ca="1">SUMIFS(Grille!N:N,Grille!A:A,Grille_HT5!A44,Grille!C:C,Grille_HT5!B44,Grille!G:G,"Mineur")</f>
        <v>0</v>
      </c>
      <c r="J44" s="72">
        <f t="shared" ca="1" si="1"/>
        <v>0</v>
      </c>
      <c r="K44" s="71">
        <v>10</v>
      </c>
      <c r="L44" s="73" t="str">
        <f t="shared" si="2"/>
        <v>Non appliqué</v>
      </c>
      <c r="M44" s="73">
        <f t="shared" ca="1" si="3"/>
        <v>0.13333333333333333</v>
      </c>
      <c r="N44" s="73" t="str">
        <f t="shared" si="9"/>
        <v>Non appliqué</v>
      </c>
      <c r="O44" s="73">
        <f t="shared" ca="1" si="4"/>
        <v>0</v>
      </c>
      <c r="P44" s="73">
        <f t="shared" ca="1" si="10"/>
        <v>0</v>
      </c>
      <c r="Q44" s="73">
        <f t="shared" ca="1" si="5"/>
        <v>0</v>
      </c>
      <c r="R44" s="77"/>
      <c r="S44" s="75"/>
      <c r="T44" s="75"/>
      <c r="U44" s="75"/>
      <c r="V44" s="76"/>
      <c r="W44" s="76"/>
      <c r="X44" s="76"/>
      <c r="Y44" s="134">
        <f t="shared" si="8"/>
        <v>32</v>
      </c>
    </row>
    <row r="45" spans="1:25" x14ac:dyDescent="0.3">
      <c r="A45" s="64" t="s">
        <v>704</v>
      </c>
      <c r="B45" s="64" t="s">
        <v>717</v>
      </c>
      <c r="C45" s="71">
        <f>SUMIFS(Grille!R:R,Grille!A:A,Grille_HT5!A45,Grille!C:C,Grille_HT5!B45,Grille!G:G,"Majeur")</f>
        <v>21</v>
      </c>
      <c r="D45" s="71">
        <f ca="1">SUMIFS(Grille!Q:Q,Grille!A:A,Grille_HT5!A45,Grille!C:C,Grille_HT5!B45,Grille!G:G,"Majeur")</f>
        <v>21</v>
      </c>
      <c r="E45" s="71">
        <f ca="1">SUMIFS(Grille!N:N,Grille!A:A,Grille_HT5!A45,Grille!C:C,Grille_HT5!B45,Grille!G:G,"Majeur")</f>
        <v>0</v>
      </c>
      <c r="F45" s="72">
        <f t="shared" ca="1" si="0"/>
        <v>0</v>
      </c>
      <c r="G45" s="71">
        <f>SUMIFS(Grille!R:R,Grille!A:A,Grille_HT5!A45,Grille!C:C,Grille_HT5!B45,Grille!G:G,"Mineur")</f>
        <v>0</v>
      </c>
      <c r="H45" s="71">
        <f>SUMIFS(Grille!Q:Q,Grille!A:A,Grille_HT5!A45,Grille!C:C,Grille_HT5!B45,Grille!G:G,"Mineur")</f>
        <v>0</v>
      </c>
      <c r="I45" s="71">
        <f>SUMIFS(Grille!N:N,Grille!A:A,Grille_HT5!A45,Grille!C:C,Grille_HT5!B45,Grille!G:G,"Mineur")</f>
        <v>0</v>
      </c>
      <c r="J45" s="72" t="str">
        <f t="shared" si="1"/>
        <v>Non appliqué</v>
      </c>
      <c r="K45" s="71">
        <v>25</v>
      </c>
      <c r="L45" s="73">
        <f t="shared" ca="1" si="2"/>
        <v>0.625</v>
      </c>
      <c r="M45" s="73" t="str">
        <f t="shared" si="3"/>
        <v>Non appliqué</v>
      </c>
      <c r="N45" s="73">
        <f t="shared" ca="1" si="9"/>
        <v>0</v>
      </c>
      <c r="O45" s="73">
        <f t="shared" ca="1" si="4"/>
        <v>0</v>
      </c>
      <c r="P45" s="73" t="str">
        <f t="shared" si="10"/>
        <v>Non appliqué</v>
      </c>
      <c r="Q45" s="73">
        <f t="shared" ca="1" si="5"/>
        <v>0</v>
      </c>
      <c r="R45" s="77"/>
      <c r="S45" s="75"/>
      <c r="T45" s="75"/>
      <c r="U45" s="75"/>
      <c r="V45" s="76"/>
      <c r="W45" s="76"/>
      <c r="X45" s="76"/>
      <c r="Y45" s="134">
        <f t="shared" si="8"/>
        <v>33</v>
      </c>
    </row>
    <row r="46" spans="1:25" x14ac:dyDescent="0.3">
      <c r="A46" s="64" t="s">
        <v>704</v>
      </c>
      <c r="B46" s="64" t="s">
        <v>718</v>
      </c>
      <c r="C46" s="71">
        <f>SUMIFS(Grille!R:R,Grille!A:A,Grille_HT5!A46,Grille!C:C,Grille_HT5!B46,Grille!G:G,"Majeur")</f>
        <v>9</v>
      </c>
      <c r="D46" s="71">
        <f ca="1">SUMIFS(Grille!Q:Q,Grille!A:A,Grille_HT5!A46,Grille!C:C,Grille_HT5!B46,Grille!G:G,"Majeur")</f>
        <v>9</v>
      </c>
      <c r="E46" s="71">
        <f ca="1">SUMIFS(Grille!N:N,Grille!A:A,Grille_HT5!A46,Grille!C:C,Grille_HT5!B46,Grille!G:G,"Majeur")</f>
        <v>0</v>
      </c>
      <c r="F46" s="72">
        <f t="shared" ca="1" si="0"/>
        <v>0</v>
      </c>
      <c r="G46" s="71">
        <f>SUMIFS(Grille!R:R,Grille!A:A,Grille_HT5!A46,Grille!C:C,Grille_HT5!B46,Grille!G:G,"Mineur")</f>
        <v>9</v>
      </c>
      <c r="H46" s="71">
        <f ca="1">SUMIFS(Grille!Q:Q,Grille!A:A,Grille_HT5!A46,Grille!C:C,Grille_HT5!B46,Grille!G:G,"Mineur")</f>
        <v>9</v>
      </c>
      <c r="I46" s="71">
        <f ca="1">SUMIFS(Grille!N:N,Grille!A:A,Grille_HT5!A46,Grille!C:C,Grille_HT5!B46,Grille!G:G,"Mineur")</f>
        <v>0</v>
      </c>
      <c r="J46" s="72">
        <f t="shared" ca="1" si="1"/>
        <v>0</v>
      </c>
      <c r="K46" s="71">
        <v>15</v>
      </c>
      <c r="L46" s="73">
        <f t="shared" ca="1" si="2"/>
        <v>0.375</v>
      </c>
      <c r="M46" s="73">
        <f t="shared" ca="1" si="3"/>
        <v>0.2</v>
      </c>
      <c r="N46" s="73">
        <f t="shared" ca="1" si="9"/>
        <v>0</v>
      </c>
      <c r="O46" s="73">
        <f t="shared" ca="1" si="4"/>
        <v>0</v>
      </c>
      <c r="P46" s="73">
        <f t="shared" ca="1" si="10"/>
        <v>0</v>
      </c>
      <c r="Q46" s="73">
        <f t="shared" ca="1" si="5"/>
        <v>0</v>
      </c>
      <c r="R46" s="77"/>
      <c r="S46" s="75"/>
      <c r="T46" s="75"/>
      <c r="U46" s="75"/>
      <c r="V46" s="76"/>
      <c r="W46" s="76"/>
      <c r="X46" s="76"/>
      <c r="Y46" s="134">
        <f t="shared" si="8"/>
        <v>34</v>
      </c>
    </row>
    <row r="47" spans="1:25" ht="25.2" x14ac:dyDescent="0.3">
      <c r="A47" s="4"/>
      <c r="B47" s="4" t="str">
        <f>A48</f>
        <v>Piscine extérieure</v>
      </c>
      <c r="C47" s="5"/>
      <c r="D47" s="5"/>
      <c r="E47" s="5"/>
      <c r="F47" s="5"/>
      <c r="G47" s="9"/>
      <c r="H47" s="9"/>
      <c r="I47" s="9"/>
      <c r="J47" s="6"/>
      <c r="K47" s="5"/>
      <c r="L47" s="5"/>
      <c r="M47" s="5"/>
      <c r="N47" s="6"/>
      <c r="O47" s="6"/>
      <c r="P47" s="6"/>
      <c r="Q47" s="6"/>
      <c r="R47" s="70">
        <v>5</v>
      </c>
      <c r="S47" s="7" t="str">
        <f t="shared" si="6"/>
        <v>Non appliqué</v>
      </c>
      <c r="T47" s="7" t="str">
        <f ca="1">IFERROR(S47/SUM(S:S),S47)</f>
        <v>Non appliqué</v>
      </c>
      <c r="U47" s="7" t="str">
        <f ca="1">IFERROR(T47*O48,T47)</f>
        <v>Non appliqué</v>
      </c>
      <c r="V47" s="7">
        <f t="shared" ca="1" si="7"/>
        <v>0.05</v>
      </c>
      <c r="W47" s="7">
        <f ca="1">IFERROR(V47/SUM(V:V),V47)</f>
        <v>5.0505050505050511E-2</v>
      </c>
      <c r="X47" s="7">
        <f ca="1">IFERROR(W47*Q48,W47)</f>
        <v>0</v>
      </c>
      <c r="Y47" s="134"/>
    </row>
    <row r="48" spans="1:25" x14ac:dyDescent="0.3">
      <c r="A48" s="64" t="s">
        <v>21</v>
      </c>
      <c r="B48" s="64" t="s">
        <v>682</v>
      </c>
      <c r="C48" s="71">
        <f>SUMIFS(Grille!R:R,Grille!A:A,Grille_HT5!A48,Grille!C:C,Grille_HT5!B48,Grille!G:G,"Majeur")</f>
        <v>0</v>
      </c>
      <c r="D48" s="71">
        <f>SUMIFS(Grille!Q:Q,Grille!A:A,Grille_HT5!A48,Grille!C:C,Grille_HT5!B48,Grille!G:G,"Majeur")</f>
        <v>0</v>
      </c>
      <c r="E48" s="71">
        <f>SUMIFS(Grille!N:N,Grille!A:A,Grille_HT5!A48,Grille!C:C,Grille_HT5!B48,Grille!G:G,"Majeur")</f>
        <v>0</v>
      </c>
      <c r="F48" s="72" t="str">
        <f t="shared" si="0"/>
        <v>Non appliqué</v>
      </c>
      <c r="G48" s="71">
        <f>SUMIFS(Grille!R:R,Grille!A:A,Grille_HT5!A48,Grille!C:C,Grille_HT5!B48,Grille!G:G,"Mineur")</f>
        <v>12</v>
      </c>
      <c r="H48" s="71">
        <f ca="1">SUMIFS(Grille!Q:Q,Grille!A:A,Grille_HT5!A48,Grille!C:C,Grille_HT5!B48,Grille!G:G,"Mineur")</f>
        <v>12</v>
      </c>
      <c r="I48" s="71">
        <f ca="1">SUMIFS(Grille!N:N,Grille!A:A,Grille_HT5!A48,Grille!C:C,Grille_HT5!B48,Grille!G:G,"Mineur")</f>
        <v>0</v>
      </c>
      <c r="J48" s="72">
        <f t="shared" ca="1" si="1"/>
        <v>0</v>
      </c>
      <c r="K48" s="71">
        <v>30</v>
      </c>
      <c r="L48" s="73" t="str">
        <f t="shared" si="2"/>
        <v>Non appliqué</v>
      </c>
      <c r="M48" s="73">
        <f t="shared" ca="1" si="3"/>
        <v>0.3</v>
      </c>
      <c r="N48" s="73" t="str">
        <f>IF(ISNUMBER(F48),F48*L48,F48)</f>
        <v>Non appliqué</v>
      </c>
      <c r="O48" s="73" t="str">
        <f t="shared" si="4"/>
        <v>Non appliqué</v>
      </c>
      <c r="P48" s="73">
        <f ca="1">IF(ISNUMBER(J48),J48*M48,J48)</f>
        <v>0</v>
      </c>
      <c r="Q48" s="73">
        <f t="shared" ca="1" si="5"/>
        <v>0</v>
      </c>
      <c r="R48" s="77"/>
      <c r="S48" s="75"/>
      <c r="T48" s="75"/>
      <c r="U48" s="75"/>
      <c r="V48" s="76"/>
      <c r="W48" s="76"/>
      <c r="X48" s="76"/>
      <c r="Y48" s="134">
        <f>Y46+1</f>
        <v>35</v>
      </c>
    </row>
    <row r="49" spans="1:25" x14ac:dyDescent="0.3">
      <c r="A49" s="64" t="s">
        <v>21</v>
      </c>
      <c r="B49" s="64" t="s">
        <v>720</v>
      </c>
      <c r="C49" s="71">
        <f>SUMIFS(Grille!R:R,Grille!A:A,Grille_HT5!A49,Grille!C:C,Grille_HT5!B49,Grille!G:G,"Majeur")</f>
        <v>0</v>
      </c>
      <c r="D49" s="71">
        <f>SUMIFS(Grille!Q:Q,Grille!A:A,Grille_HT5!A49,Grille!C:C,Grille_HT5!B49,Grille!G:G,"Majeur")</f>
        <v>0</v>
      </c>
      <c r="E49" s="71">
        <f>SUMIFS(Grille!N:N,Grille!A:A,Grille_HT5!A49,Grille!C:C,Grille_HT5!B49,Grille!G:G,"Majeur")</f>
        <v>0</v>
      </c>
      <c r="F49" s="72" t="str">
        <f t="shared" si="0"/>
        <v>Non appliqué</v>
      </c>
      <c r="G49" s="71">
        <f>SUMIFS(Grille!R:R,Grille!A:A,Grille_HT5!A49,Grille!C:C,Grille_HT5!B49,Grille!G:G,"Mineur")</f>
        <v>6</v>
      </c>
      <c r="H49" s="71">
        <f ca="1">SUMIFS(Grille!Q:Q,Grille!A:A,Grille_HT5!A49,Grille!C:C,Grille_HT5!B49,Grille!G:G,"Mineur")</f>
        <v>6</v>
      </c>
      <c r="I49" s="71">
        <f ca="1">SUMIFS(Grille!N:N,Grille!A:A,Grille_HT5!A49,Grille!C:C,Grille_HT5!B49,Grille!G:G,"Mineur")</f>
        <v>0</v>
      </c>
      <c r="J49" s="72">
        <f t="shared" ca="1" si="1"/>
        <v>0</v>
      </c>
      <c r="K49" s="71">
        <v>25</v>
      </c>
      <c r="L49" s="73" t="str">
        <f t="shared" si="2"/>
        <v>Non appliqué</v>
      </c>
      <c r="M49" s="73">
        <f t="shared" ca="1" si="3"/>
        <v>0.25</v>
      </c>
      <c r="N49" s="73" t="str">
        <f>IF(ISNUMBER(F49),F49*L49,F49)</f>
        <v>Non appliqué</v>
      </c>
      <c r="O49" s="73" t="str">
        <f t="shared" si="4"/>
        <v>Non appliqué</v>
      </c>
      <c r="P49" s="73">
        <f ca="1">IF(ISNUMBER(J49),J49*M49,J49)</f>
        <v>0</v>
      </c>
      <c r="Q49" s="73">
        <f t="shared" ca="1" si="5"/>
        <v>0</v>
      </c>
      <c r="R49" s="77"/>
      <c r="S49" s="75"/>
      <c r="T49" s="75"/>
      <c r="U49" s="75"/>
      <c r="V49" s="76"/>
      <c r="W49" s="76"/>
      <c r="X49" s="76"/>
      <c r="Y49" s="134">
        <f t="shared" si="8"/>
        <v>36</v>
      </c>
    </row>
    <row r="50" spans="1:25" x14ac:dyDescent="0.3">
      <c r="A50" s="64" t="s">
        <v>21</v>
      </c>
      <c r="B50" s="64" t="s">
        <v>722</v>
      </c>
      <c r="C50" s="71">
        <f>SUMIFS(Grille!R:R,Grille!A:A,Grille_HT5!A50,Grille!C:C,Grille_HT5!B50,Grille!G:G,"Majeur")</f>
        <v>0</v>
      </c>
      <c r="D50" s="71">
        <f>SUMIFS(Grille!Q:Q,Grille!A:A,Grille_HT5!A50,Grille!C:C,Grille_HT5!B50,Grille!G:G,"Majeur")</f>
        <v>0</v>
      </c>
      <c r="E50" s="71">
        <f>SUMIFS(Grille!N:N,Grille!A:A,Grille_HT5!A50,Grille!C:C,Grille_HT5!B50,Grille!G:G,"Majeur")</f>
        <v>0</v>
      </c>
      <c r="F50" s="72" t="str">
        <f t="shared" si="0"/>
        <v>Non appliqué</v>
      </c>
      <c r="G50" s="71">
        <f>SUMIFS(Grille!R:R,Grille!A:A,Grille_HT5!A50,Grille!C:C,Grille_HT5!B50,Grille!G:G,"Mineur")</f>
        <v>21</v>
      </c>
      <c r="H50" s="71">
        <f ca="1">SUMIFS(Grille!Q:Q,Grille!A:A,Grille_HT5!A50,Grille!C:C,Grille_HT5!B50,Grille!G:G,"Mineur")</f>
        <v>21</v>
      </c>
      <c r="I50" s="71">
        <f ca="1">SUMIFS(Grille!N:N,Grille!A:A,Grille_HT5!A50,Grille!C:C,Grille_HT5!B50,Grille!G:G,"Mineur")</f>
        <v>0</v>
      </c>
      <c r="J50" s="72">
        <f t="shared" ca="1" si="1"/>
        <v>0</v>
      </c>
      <c r="K50" s="71">
        <v>25</v>
      </c>
      <c r="L50" s="73" t="str">
        <f t="shared" si="2"/>
        <v>Non appliqué</v>
      </c>
      <c r="M50" s="73">
        <f t="shared" ca="1" si="3"/>
        <v>0.25</v>
      </c>
      <c r="N50" s="73" t="str">
        <f>IF(ISNUMBER(F50),F50*L50,F50)</f>
        <v>Non appliqué</v>
      </c>
      <c r="O50" s="73" t="str">
        <f t="shared" si="4"/>
        <v>Non appliqué</v>
      </c>
      <c r="P50" s="73">
        <f ca="1">IF(ISNUMBER(J50),J50*M50,J50)</f>
        <v>0</v>
      </c>
      <c r="Q50" s="73">
        <f t="shared" ca="1" si="5"/>
        <v>0</v>
      </c>
      <c r="R50" s="77"/>
      <c r="S50" s="75"/>
      <c r="T50" s="75"/>
      <c r="U50" s="75"/>
      <c r="V50" s="76"/>
      <c r="W50" s="76"/>
      <c r="X50" s="76"/>
      <c r="Y50" s="134">
        <f t="shared" si="8"/>
        <v>37</v>
      </c>
    </row>
    <row r="51" spans="1:25" x14ac:dyDescent="0.3">
      <c r="A51" s="64" t="s">
        <v>21</v>
      </c>
      <c r="B51" s="64" t="s">
        <v>724</v>
      </c>
      <c r="C51" s="71">
        <f>SUMIFS(Grille!R:R,Grille!A:A,Grille_HT5!A51,Grille!C:C,Grille_HT5!B51,Grille!G:G,"Majeur")</f>
        <v>0</v>
      </c>
      <c r="D51" s="71">
        <f>SUMIFS(Grille!Q:Q,Grille!A:A,Grille_HT5!A51,Grille!C:C,Grille_HT5!B51,Grille!G:G,"Majeur")</f>
        <v>0</v>
      </c>
      <c r="E51" s="71">
        <f>SUMIFS(Grille!N:N,Grille!A:A,Grille_HT5!A51,Grille!C:C,Grille_HT5!B51,Grille!G:G,"Majeur")</f>
        <v>0</v>
      </c>
      <c r="F51" s="72" t="str">
        <f t="shared" si="0"/>
        <v>Non appliqué</v>
      </c>
      <c r="G51" s="71">
        <f>SUMIFS(Grille!R:R,Grille!A:A,Grille_HT5!A51,Grille!C:C,Grille_HT5!B51,Grille!G:G,"Mineur")</f>
        <v>8</v>
      </c>
      <c r="H51" s="71">
        <f ca="1">SUMIFS(Grille!Q:Q,Grille!A:A,Grille_HT5!A51,Grille!C:C,Grille_HT5!B51,Grille!G:G,"Mineur")</f>
        <v>8</v>
      </c>
      <c r="I51" s="71">
        <f ca="1">SUMIFS(Grille!N:N,Grille!A:A,Grille_HT5!A51,Grille!C:C,Grille_HT5!B51,Grille!G:G,"Mineur")</f>
        <v>0</v>
      </c>
      <c r="J51" s="72">
        <f t="shared" ca="1" si="1"/>
        <v>0</v>
      </c>
      <c r="K51" s="71">
        <v>10</v>
      </c>
      <c r="L51" s="73" t="str">
        <f t="shared" si="2"/>
        <v>Non appliqué</v>
      </c>
      <c r="M51" s="73">
        <f t="shared" ca="1" si="3"/>
        <v>0.1</v>
      </c>
      <c r="N51" s="73" t="str">
        <f>IF(ISNUMBER(F51),F51*L51,F51)</f>
        <v>Non appliqué</v>
      </c>
      <c r="O51" s="73" t="str">
        <f t="shared" si="4"/>
        <v>Non appliqué</v>
      </c>
      <c r="P51" s="73">
        <f ca="1">IF(ISNUMBER(J51),J51*M51,J51)</f>
        <v>0</v>
      </c>
      <c r="Q51" s="73">
        <f t="shared" ca="1" si="5"/>
        <v>0</v>
      </c>
      <c r="R51" s="77"/>
      <c r="S51" s="75"/>
      <c r="T51" s="75"/>
      <c r="U51" s="75"/>
      <c r="V51" s="76"/>
      <c r="W51" s="76"/>
      <c r="X51" s="76"/>
      <c r="Y51" s="134">
        <f t="shared" si="8"/>
        <v>38</v>
      </c>
    </row>
    <row r="52" spans="1:25" x14ac:dyDescent="0.3">
      <c r="A52" s="64" t="s">
        <v>21</v>
      </c>
      <c r="B52" s="64" t="s">
        <v>725</v>
      </c>
      <c r="C52" s="71">
        <f>SUMIFS(Grille!R:R,Grille!A:A,Grille_HT5!A52,Grille!C:C,Grille_HT5!B52,Grille!G:G,"Majeur")</f>
        <v>0</v>
      </c>
      <c r="D52" s="71">
        <f>SUMIFS(Grille!Q:Q,Grille!A:A,Grille_HT5!A52,Grille!C:C,Grille_HT5!B52,Grille!G:G,"Majeur")</f>
        <v>0</v>
      </c>
      <c r="E52" s="71">
        <f>SUMIFS(Grille!N:N,Grille!A:A,Grille_HT5!A52,Grille!C:C,Grille_HT5!B52,Grille!G:G,"Majeur")</f>
        <v>0</v>
      </c>
      <c r="F52" s="72" t="str">
        <f t="shared" si="0"/>
        <v>Non appliqué</v>
      </c>
      <c r="G52" s="71">
        <f>SUMIFS(Grille!R:R,Grille!A:A,Grille_HT5!A52,Grille!C:C,Grille_HT5!B52,Grille!G:G,"Mineur")</f>
        <v>16</v>
      </c>
      <c r="H52" s="71">
        <f ca="1">SUMIFS(Grille!Q:Q,Grille!A:A,Grille_HT5!A52,Grille!C:C,Grille_HT5!B52,Grille!G:G,"Mineur")</f>
        <v>16</v>
      </c>
      <c r="I52" s="71">
        <f ca="1">SUMIFS(Grille!N:N,Grille!A:A,Grille_HT5!A52,Grille!C:C,Grille_HT5!B52,Grille!G:G,"Mineur")</f>
        <v>0</v>
      </c>
      <c r="J52" s="72">
        <f t="shared" ca="1" si="1"/>
        <v>0</v>
      </c>
      <c r="K52" s="71">
        <v>10</v>
      </c>
      <c r="L52" s="73" t="str">
        <f t="shared" si="2"/>
        <v>Non appliqué</v>
      </c>
      <c r="M52" s="73">
        <f t="shared" ca="1" si="3"/>
        <v>0.1</v>
      </c>
      <c r="N52" s="73" t="str">
        <f>IF(ISNUMBER(F52),F52*L52,F52)</f>
        <v>Non appliqué</v>
      </c>
      <c r="O52" s="73" t="str">
        <f t="shared" si="4"/>
        <v>Non appliqué</v>
      </c>
      <c r="P52" s="73">
        <f ca="1">IF(ISNUMBER(J52),J52*M52,J52)</f>
        <v>0</v>
      </c>
      <c r="Q52" s="73">
        <f t="shared" ca="1" si="5"/>
        <v>0</v>
      </c>
      <c r="R52" s="77"/>
      <c r="S52" s="75"/>
      <c r="T52" s="75"/>
      <c r="U52" s="75"/>
      <c r="V52" s="76"/>
      <c r="W52" s="76"/>
      <c r="X52" s="76"/>
      <c r="Y52" s="134">
        <f t="shared" si="8"/>
        <v>39</v>
      </c>
    </row>
    <row r="53" spans="1:25" ht="25.2" x14ac:dyDescent="0.3">
      <c r="A53" s="4"/>
      <c r="B53" s="4" t="s">
        <v>801</v>
      </c>
      <c r="C53" s="5"/>
      <c r="D53" s="5"/>
      <c r="E53" s="5"/>
      <c r="F53" s="5"/>
      <c r="G53" s="9"/>
      <c r="H53" s="9"/>
      <c r="I53" s="9"/>
      <c r="J53" s="6"/>
      <c r="K53" s="5"/>
      <c r="L53" s="5"/>
      <c r="M53" s="5"/>
      <c r="N53" s="6"/>
      <c r="O53" s="6"/>
      <c r="P53" s="6"/>
      <c r="Q53" s="6"/>
      <c r="R53" s="70">
        <v>2</v>
      </c>
      <c r="S53" s="7" t="str">
        <f t="shared" si="6"/>
        <v>Non appliqué</v>
      </c>
      <c r="T53" s="7" t="str">
        <f ca="1">IFERROR(S53/SUM(S:S),S53)</f>
        <v>Non appliqué</v>
      </c>
      <c r="U53" s="7" t="str">
        <f ca="1">IFERROR(T53*#REF!,T53)</f>
        <v>Non appliqué</v>
      </c>
      <c r="V53" s="7">
        <f t="shared" ca="1" si="7"/>
        <v>0.02</v>
      </c>
      <c r="W53" s="7">
        <f ca="1">IFERROR(V53/SUM(V:V),V53)</f>
        <v>2.0202020202020204E-2</v>
      </c>
      <c r="X53" s="7">
        <f ca="1">IFERROR(W53*Q54,W53)</f>
        <v>0</v>
      </c>
      <c r="Y53" s="134"/>
    </row>
    <row r="54" spans="1:25" x14ac:dyDescent="0.3">
      <c r="A54" s="64" t="s">
        <v>729</v>
      </c>
      <c r="B54" s="64" t="s">
        <v>729</v>
      </c>
      <c r="C54" s="71">
        <f>SUMIFS(Grille!R:R,Grille!A:A,Grille_HT5!A54,Grille!C:C,Grille_HT5!B54,Grille!G:G,"Majeur")</f>
        <v>0</v>
      </c>
      <c r="D54" s="71">
        <f>SUMIFS(Grille!Q:Q,Grille!A:A,Grille_HT5!A54,Grille!C:C,Grille_HT5!B54,Grille!G:G,"Majeur")</f>
        <v>0</v>
      </c>
      <c r="E54" s="71">
        <f>SUMIFS(Grille!N:N,Grille!A:A,Grille_HT5!A54,Grille!C:C,Grille_HT5!B54,Grille!G:G,"Majeur")</f>
        <v>0</v>
      </c>
      <c r="F54" s="72" t="str">
        <f t="shared" si="0"/>
        <v>Non appliqué</v>
      </c>
      <c r="G54" s="71">
        <f>SUMIFS(Grille!R:R,Grille!A:A,Grille_HT5!A54,Grille!C:C,Grille_HT5!B54,Grille!G:G,"Mineur")</f>
        <v>18</v>
      </c>
      <c r="H54" s="71">
        <f ca="1">SUMIFS(Grille!Q:Q,Grille!A:A,Grille_HT5!A54,Grille!C:C,Grille_HT5!B54,Grille!G:G,"Mineur")</f>
        <v>18</v>
      </c>
      <c r="I54" s="71">
        <f ca="1">SUMIFS(Grille!N:N,Grille!A:A,Grille_HT5!A54,Grille!C:C,Grille_HT5!B54,Grille!G:G,"Mineur")</f>
        <v>0</v>
      </c>
      <c r="J54" s="72">
        <f t="shared" ca="1" si="1"/>
        <v>0</v>
      </c>
      <c r="K54" s="71">
        <v>100</v>
      </c>
      <c r="L54" s="73" t="str">
        <f t="shared" si="2"/>
        <v>Non appliqué</v>
      </c>
      <c r="M54" s="73">
        <f t="shared" ca="1" si="3"/>
        <v>1</v>
      </c>
      <c r="N54" s="73" t="str">
        <f>IF(ISNUMBER(F54),F54*L54,F54)</f>
        <v>Non appliqué</v>
      </c>
      <c r="O54" s="73" t="str">
        <f t="shared" si="4"/>
        <v>Non appliqué</v>
      </c>
      <c r="P54" s="73">
        <f ca="1">IF(ISNUMBER(J54),J54*M54,J54)</f>
        <v>0</v>
      </c>
      <c r="Q54" s="73">
        <f t="shared" ca="1" si="5"/>
        <v>0</v>
      </c>
      <c r="R54" s="77"/>
      <c r="S54" s="75"/>
      <c r="T54" s="75"/>
      <c r="U54" s="75"/>
      <c r="V54" s="76"/>
      <c r="W54" s="76"/>
      <c r="X54" s="76"/>
      <c r="Y54" s="134">
        <f>Y52+1</f>
        <v>40</v>
      </c>
    </row>
    <row r="55" spans="1:25" ht="25.2" x14ac:dyDescent="0.3">
      <c r="A55" s="4"/>
      <c r="B55" s="4" t="str">
        <f>A56</f>
        <v>Autres animations</v>
      </c>
      <c r="C55" s="5"/>
      <c r="D55" s="5"/>
      <c r="E55" s="5"/>
      <c r="F55" s="5"/>
      <c r="G55" s="9"/>
      <c r="H55" s="9"/>
      <c r="I55" s="9"/>
      <c r="J55" s="6"/>
      <c r="K55" s="5"/>
      <c r="L55" s="5"/>
      <c r="M55" s="5"/>
      <c r="N55" s="6"/>
      <c r="O55" s="6"/>
      <c r="P55" s="6"/>
      <c r="Q55" s="6"/>
      <c r="R55" s="70">
        <v>1</v>
      </c>
      <c r="S55" s="7" t="str">
        <f t="shared" si="6"/>
        <v>Non appliqué</v>
      </c>
      <c r="T55" s="7" t="str">
        <f ca="1">IFERROR(S55/SUM(S:S),S55)</f>
        <v>Non appliqué</v>
      </c>
      <c r="U55" s="7" t="str">
        <f ca="1">IFERROR(T55*O56,T55)</f>
        <v>Non appliqué</v>
      </c>
      <c r="V55" s="7">
        <f t="shared" ca="1" si="7"/>
        <v>0.01</v>
      </c>
      <c r="W55" s="7">
        <f ca="1">IFERROR(V55/SUM(V:V),V55)</f>
        <v>1.0101010101010102E-2</v>
      </c>
      <c r="X55" s="7">
        <f ca="1">IFERROR(W55*Q56,W55)</f>
        <v>0</v>
      </c>
      <c r="Y55" s="134"/>
    </row>
    <row r="56" spans="1:25" x14ac:dyDescent="0.3">
      <c r="A56" s="64" t="s">
        <v>731</v>
      </c>
      <c r="B56" s="64" t="s">
        <v>733</v>
      </c>
      <c r="C56" s="71">
        <f>SUMIFS(Grille!R:R,Grille!A:A,Grille_HT5!A56,Grille!C:C,Grille_HT5!B56,Grille!G:G,"Majeur")</f>
        <v>0</v>
      </c>
      <c r="D56" s="71">
        <f>SUMIFS(Grille!Q:Q,Grille!A:A,Grille_HT5!A56,Grille!C:C,Grille_HT5!B56,Grille!G:G,"Majeur")</f>
        <v>0</v>
      </c>
      <c r="E56" s="71">
        <f>SUMIFS(Grille!N:N,Grille!A:A,Grille_HT5!A56,Grille!C:C,Grille_HT5!B56,Grille!G:G,"Majeur")</f>
        <v>0</v>
      </c>
      <c r="F56" s="72" t="str">
        <f t="shared" si="0"/>
        <v>Non appliqué</v>
      </c>
      <c r="G56" s="71">
        <f>SUMIFS(Grille!R:R,Grille!A:A,Grille_HT5!A56,Grille!C:C,Grille_HT5!B56,Grille!G:G,"Mineur")</f>
        <v>8</v>
      </c>
      <c r="H56" s="71">
        <f ca="1">SUMIFS(Grille!Q:Q,Grille!A:A,Grille_HT5!A56,Grille!C:C,Grille_HT5!B56,Grille!G:G,"Mineur")</f>
        <v>8</v>
      </c>
      <c r="I56" s="71">
        <f ca="1">SUMIFS(Grille!N:N,Grille!A:A,Grille_HT5!A56,Grille!C:C,Grille_HT5!B56,Grille!G:G,"Mineur")</f>
        <v>0</v>
      </c>
      <c r="J56" s="72">
        <f t="shared" ca="1" si="1"/>
        <v>0</v>
      </c>
      <c r="K56" s="71">
        <v>40</v>
      </c>
      <c r="L56" s="73" t="str">
        <f t="shared" si="2"/>
        <v>Non appliqué</v>
      </c>
      <c r="M56" s="73">
        <f t="shared" ca="1" si="3"/>
        <v>0.4</v>
      </c>
      <c r="N56" s="73" t="str">
        <f>IF(ISNUMBER(F56),F56*L56,F56)</f>
        <v>Non appliqué</v>
      </c>
      <c r="O56" s="73" t="str">
        <f t="shared" si="4"/>
        <v>Non appliqué</v>
      </c>
      <c r="P56" s="73">
        <f ca="1">IF(ISNUMBER(J56),J56*M56,J56)</f>
        <v>0</v>
      </c>
      <c r="Q56" s="73">
        <f t="shared" ca="1" si="5"/>
        <v>0</v>
      </c>
      <c r="R56" s="77"/>
      <c r="S56" s="75"/>
      <c r="T56" s="75"/>
      <c r="U56" s="75"/>
      <c r="V56" s="76"/>
      <c r="W56" s="76"/>
      <c r="X56" s="76"/>
      <c r="Y56" s="134">
        <f>Y54+1</f>
        <v>41</v>
      </c>
    </row>
    <row r="57" spans="1:25" ht="25.2" x14ac:dyDescent="0.3">
      <c r="A57" s="64" t="s">
        <v>731</v>
      </c>
      <c r="B57" s="64" t="s">
        <v>734</v>
      </c>
      <c r="C57" s="71">
        <f>SUMIFS(Grille!R:R,Grille!A:A,Grille_HT5!A57,Grille!C:C,Grille_HT5!B57,Grille!G:G,"Majeur")</f>
        <v>0</v>
      </c>
      <c r="D57" s="71">
        <f>SUMIFS(Grille!Q:Q,Grille!A:A,Grille_HT5!A57,Grille!C:C,Grille_HT5!B57,Grille!G:G,"Majeur")</f>
        <v>0</v>
      </c>
      <c r="E57" s="71">
        <f>SUMIFS(Grille!N:N,Grille!A:A,Grille_HT5!A57,Grille!C:C,Grille_HT5!B57,Grille!G:G,"Majeur")</f>
        <v>0</v>
      </c>
      <c r="F57" s="72" t="str">
        <f t="shared" si="0"/>
        <v>Non appliqué</v>
      </c>
      <c r="G57" s="71">
        <f>SUMIFS(Grille!R:R,Grille!A:A,Grille_HT5!A57,Grille!C:C,Grille_HT5!B57,Grille!G:G,"Mineur")</f>
        <v>8</v>
      </c>
      <c r="H57" s="71">
        <f ca="1">SUMIFS(Grille!Q:Q,Grille!A:A,Grille_HT5!A57,Grille!C:C,Grille_HT5!B57,Grille!G:G,"Mineur")</f>
        <v>8</v>
      </c>
      <c r="I57" s="71">
        <f ca="1">SUMIFS(Grille!N:N,Grille!A:A,Grille_HT5!A57,Grille!C:C,Grille_HT5!B57,Grille!G:G,"Mineur")</f>
        <v>0</v>
      </c>
      <c r="J57" s="72">
        <f t="shared" ca="1" si="1"/>
        <v>0</v>
      </c>
      <c r="K57" s="71">
        <v>10</v>
      </c>
      <c r="L57" s="73" t="str">
        <f t="shared" si="2"/>
        <v>Non appliqué</v>
      </c>
      <c r="M57" s="73">
        <f t="shared" ca="1" si="3"/>
        <v>0.1</v>
      </c>
      <c r="N57" s="73" t="str">
        <f>IF(ISNUMBER(F57),F57*L57,F57)</f>
        <v>Non appliqué</v>
      </c>
      <c r="O57" s="73" t="str">
        <f t="shared" si="4"/>
        <v>Non appliqué</v>
      </c>
      <c r="P57" s="73">
        <f ca="1">IF(ISNUMBER(J57),J57*M57,J57)</f>
        <v>0</v>
      </c>
      <c r="Q57" s="73">
        <f t="shared" ca="1" si="5"/>
        <v>0</v>
      </c>
      <c r="R57" s="77"/>
      <c r="S57" s="75"/>
      <c r="T57" s="75"/>
      <c r="U57" s="75"/>
      <c r="V57" s="76"/>
      <c r="W57" s="76"/>
      <c r="X57" s="76"/>
      <c r="Y57" s="134">
        <f t="shared" si="8"/>
        <v>42</v>
      </c>
    </row>
    <row r="58" spans="1:25" ht="25.2" x14ac:dyDescent="0.3">
      <c r="A58" s="64" t="s">
        <v>731</v>
      </c>
      <c r="B58" s="64" t="s">
        <v>735</v>
      </c>
      <c r="C58" s="71">
        <f>SUMIFS(Grille!R:R,Grille!A:A,Grille_HT5!A58,Grille!C:C,Grille_HT5!B58,Grille!G:G,"Majeur")</f>
        <v>0</v>
      </c>
      <c r="D58" s="71">
        <f>SUMIFS(Grille!Q:Q,Grille!A:A,Grille_HT5!A58,Grille!C:C,Grille_HT5!B58,Grille!G:G,"Majeur")</f>
        <v>0</v>
      </c>
      <c r="E58" s="71">
        <f>SUMIFS(Grille!N:N,Grille!A:A,Grille_HT5!A58,Grille!C:C,Grille_HT5!B58,Grille!G:G,"Majeur")</f>
        <v>0</v>
      </c>
      <c r="F58" s="72" t="str">
        <f t="shared" si="0"/>
        <v>Non appliqué</v>
      </c>
      <c r="G58" s="71">
        <f>SUMIFS(Grille!R:R,Grille!A:A,Grille_HT5!A58,Grille!C:C,Grille_HT5!B58,Grille!G:G,"Mineur")</f>
        <v>8</v>
      </c>
      <c r="H58" s="71">
        <f ca="1">SUMIFS(Grille!Q:Q,Grille!A:A,Grille_HT5!A58,Grille!C:C,Grille_HT5!B58,Grille!G:G,"Mineur")</f>
        <v>8</v>
      </c>
      <c r="I58" s="71">
        <f ca="1">SUMIFS(Grille!N:N,Grille!A:A,Grille_HT5!A58,Grille!C:C,Grille_HT5!B58,Grille!G:G,"Mineur")</f>
        <v>0</v>
      </c>
      <c r="J58" s="72">
        <f t="shared" ca="1" si="1"/>
        <v>0</v>
      </c>
      <c r="K58" s="71">
        <v>10</v>
      </c>
      <c r="L58" s="73" t="str">
        <f t="shared" si="2"/>
        <v>Non appliqué</v>
      </c>
      <c r="M58" s="73">
        <f t="shared" ca="1" si="3"/>
        <v>0.1</v>
      </c>
      <c r="N58" s="73" t="str">
        <f>IF(ISNUMBER(F58),F58*L58,F58)</f>
        <v>Non appliqué</v>
      </c>
      <c r="O58" s="73" t="str">
        <f t="shared" si="4"/>
        <v>Non appliqué</v>
      </c>
      <c r="P58" s="73">
        <f ca="1">IF(ISNUMBER(J58),J58*M58,J58)</f>
        <v>0</v>
      </c>
      <c r="Q58" s="73">
        <f t="shared" ca="1" si="5"/>
        <v>0</v>
      </c>
      <c r="R58" s="77"/>
      <c r="S58" s="75"/>
      <c r="T58" s="75"/>
      <c r="U58" s="75"/>
      <c r="V58" s="76"/>
      <c r="W58" s="76"/>
      <c r="X58" s="76"/>
      <c r="Y58" s="134">
        <f t="shared" si="8"/>
        <v>43</v>
      </c>
    </row>
    <row r="59" spans="1:25" ht="25.2" x14ac:dyDescent="0.3">
      <c r="A59" s="64" t="s">
        <v>731</v>
      </c>
      <c r="B59" s="64" t="s">
        <v>736</v>
      </c>
      <c r="C59" s="71">
        <f>SUMIFS(Grille!R:R,Grille!A:A,Grille_HT5!A59,Grille!C:C,Grille_HT5!B59,Grille!G:G,"Majeur")</f>
        <v>0</v>
      </c>
      <c r="D59" s="71">
        <f>SUMIFS(Grille!Q:Q,Grille!A:A,Grille_HT5!A59,Grille!C:C,Grille_HT5!B59,Grille!G:G,"Majeur")</f>
        <v>0</v>
      </c>
      <c r="E59" s="71">
        <f>SUMIFS(Grille!N:N,Grille!A:A,Grille_HT5!A59,Grille!C:C,Grille_HT5!B59,Grille!G:G,"Majeur")</f>
        <v>0</v>
      </c>
      <c r="F59" s="72" t="str">
        <f t="shared" si="0"/>
        <v>Non appliqué</v>
      </c>
      <c r="G59" s="71">
        <f>SUMIFS(Grille!R:R,Grille!A:A,Grille_HT5!A59,Grille!C:C,Grille_HT5!B59,Grille!G:G,"Mineur")</f>
        <v>8</v>
      </c>
      <c r="H59" s="71">
        <f ca="1">SUMIFS(Grille!Q:Q,Grille!A:A,Grille_HT5!A59,Grille!C:C,Grille_HT5!B59,Grille!G:G,"Mineur")</f>
        <v>8</v>
      </c>
      <c r="I59" s="71">
        <f ca="1">SUMIFS(Grille!N:N,Grille!A:A,Grille_HT5!A59,Grille!C:C,Grille_HT5!B59,Grille!G:G,"Mineur")</f>
        <v>0</v>
      </c>
      <c r="J59" s="72">
        <f t="shared" ca="1" si="1"/>
        <v>0</v>
      </c>
      <c r="K59" s="71">
        <v>20</v>
      </c>
      <c r="L59" s="73" t="str">
        <f t="shared" si="2"/>
        <v>Non appliqué</v>
      </c>
      <c r="M59" s="73">
        <f t="shared" ca="1" si="3"/>
        <v>0.2</v>
      </c>
      <c r="N59" s="73" t="str">
        <f>IF(ISNUMBER(F59),F59*L59,F59)</f>
        <v>Non appliqué</v>
      </c>
      <c r="O59" s="73" t="str">
        <f t="shared" si="4"/>
        <v>Non appliqué</v>
      </c>
      <c r="P59" s="73">
        <f ca="1">IF(ISNUMBER(J59),J59*M59,J59)</f>
        <v>0</v>
      </c>
      <c r="Q59" s="73">
        <f t="shared" ca="1" si="5"/>
        <v>0</v>
      </c>
      <c r="R59" s="77"/>
      <c r="S59" s="75"/>
      <c r="T59" s="75"/>
      <c r="U59" s="75"/>
      <c r="V59" s="76"/>
      <c r="W59" s="76"/>
      <c r="X59" s="76"/>
      <c r="Y59" s="134">
        <f t="shared" si="8"/>
        <v>44</v>
      </c>
    </row>
    <row r="60" spans="1:25" ht="25.2" x14ac:dyDescent="0.3">
      <c r="A60" s="64" t="s">
        <v>731</v>
      </c>
      <c r="B60" s="64" t="s">
        <v>737</v>
      </c>
      <c r="C60" s="71">
        <f>SUMIFS(Grille!R:R,Grille!A:A,Grille_HT5!A60,Grille!C:C,Grille_HT5!B60,Grille!G:G,"Majeur")</f>
        <v>0</v>
      </c>
      <c r="D60" s="71">
        <f>SUMIFS(Grille!Q:Q,Grille!A:A,Grille_HT5!A60,Grille!C:C,Grille_HT5!B60,Grille!G:G,"Majeur")</f>
        <v>0</v>
      </c>
      <c r="E60" s="71">
        <f>SUMIFS(Grille!N:N,Grille!A:A,Grille_HT5!A60,Grille!C:C,Grille_HT5!B60,Grille!G:G,"Majeur")</f>
        <v>0</v>
      </c>
      <c r="F60" s="72" t="str">
        <f t="shared" si="0"/>
        <v>Non appliqué</v>
      </c>
      <c r="G60" s="71">
        <f>SUMIFS(Grille!R:R,Grille!A:A,Grille_HT5!A60,Grille!C:C,Grille_HT5!B60,Grille!G:G,"Mineur")</f>
        <v>8</v>
      </c>
      <c r="H60" s="71">
        <f ca="1">SUMIFS(Grille!Q:Q,Grille!A:A,Grille_HT5!A60,Grille!C:C,Grille_HT5!B60,Grille!G:G,"Mineur")</f>
        <v>8</v>
      </c>
      <c r="I60" s="71">
        <f ca="1">SUMIFS(Grille!N:N,Grille!A:A,Grille_HT5!A60,Grille!C:C,Grille_HT5!B60,Grille!G:G,"Mineur")</f>
        <v>0</v>
      </c>
      <c r="J60" s="72">
        <f t="shared" ca="1" si="1"/>
        <v>0</v>
      </c>
      <c r="K60" s="71">
        <v>20</v>
      </c>
      <c r="L60" s="73" t="str">
        <f t="shared" si="2"/>
        <v>Non appliqué</v>
      </c>
      <c r="M60" s="73">
        <f t="shared" ca="1" si="3"/>
        <v>0.2</v>
      </c>
      <c r="N60" s="73" t="str">
        <f>IF(ISNUMBER(F60),F60*L60,F60)</f>
        <v>Non appliqué</v>
      </c>
      <c r="O60" s="73" t="str">
        <f t="shared" si="4"/>
        <v>Non appliqué</v>
      </c>
      <c r="P60" s="73">
        <f ca="1">IF(ISNUMBER(J60),J60*M60,J60)</f>
        <v>0</v>
      </c>
      <c r="Q60" s="73">
        <f t="shared" ca="1" si="5"/>
        <v>0</v>
      </c>
      <c r="R60" s="77"/>
      <c r="S60" s="75"/>
      <c r="T60" s="75"/>
      <c r="U60" s="75"/>
      <c r="V60" s="76"/>
      <c r="W60" s="76"/>
      <c r="X60" s="76"/>
      <c r="Y60" s="134">
        <f t="shared" si="8"/>
        <v>45</v>
      </c>
    </row>
    <row r="61" spans="1:25" ht="25.2" x14ac:dyDescent="0.3">
      <c r="A61" s="4"/>
      <c r="B61" s="4" t="s">
        <v>802</v>
      </c>
      <c r="C61" s="5"/>
      <c r="D61" s="5"/>
      <c r="E61" s="5"/>
      <c r="F61" s="5"/>
      <c r="G61" s="9"/>
      <c r="H61" s="9"/>
      <c r="I61" s="9"/>
      <c r="J61" s="6"/>
      <c r="K61" s="5"/>
      <c r="L61" s="5"/>
      <c r="M61" s="5"/>
      <c r="N61" s="6"/>
      <c r="O61" s="6"/>
      <c r="P61" s="6"/>
      <c r="Q61" s="6"/>
      <c r="R61" s="70">
        <v>1</v>
      </c>
      <c r="S61" s="7" t="str">
        <f t="shared" si="6"/>
        <v>Non appliqué</v>
      </c>
      <c r="T61" s="7" t="str">
        <f ca="1">IFERROR(S61/SUM(S:S),S61)</f>
        <v>Non appliqué</v>
      </c>
      <c r="U61" s="7" t="str">
        <f ca="1">IFERROR(T61*O62,T61)</f>
        <v>Non appliqué</v>
      </c>
      <c r="V61" s="7">
        <f t="shared" ca="1" si="7"/>
        <v>0.01</v>
      </c>
      <c r="W61" s="7">
        <f ca="1">IFERROR(V61/SUM(V:V),V61)</f>
        <v>1.0101010101010102E-2</v>
      </c>
      <c r="X61" s="7">
        <f ca="1">IFERROR(W61*Q62,W61)</f>
        <v>0</v>
      </c>
      <c r="Y61" s="134"/>
    </row>
    <row r="62" spans="1:25" x14ac:dyDescent="0.3">
      <c r="A62" s="64" t="s">
        <v>738</v>
      </c>
      <c r="B62" s="64" t="s">
        <v>738</v>
      </c>
      <c r="C62" s="71">
        <f>SUMIFS(Grille!R:R,Grille!A:A,Grille_HT5!A62,Grille!C:C,Grille_HT5!B62,Grille!G:G,"Majeur")</f>
        <v>0</v>
      </c>
      <c r="D62" s="71">
        <f>SUMIFS(Grille!Q:Q,Grille!A:A,Grille_HT5!A62,Grille!C:C,Grille_HT5!B62,Grille!G:G,"Majeur")</f>
        <v>0</v>
      </c>
      <c r="E62" s="71">
        <f>SUMIFS(Grille!N:N,Grille!A:A,Grille_HT5!A62,Grille!C:C,Grille_HT5!B62,Grille!G:G,"Majeur")</f>
        <v>0</v>
      </c>
      <c r="F62" s="72" t="str">
        <f t="shared" si="0"/>
        <v>Non appliqué</v>
      </c>
      <c r="G62" s="71">
        <f>SUMIFS(Grille!R:R,Grille!A:A,Grille_HT5!A62,Grille!C:C,Grille_HT5!B62,Grille!G:G,"Mineur")</f>
        <v>10</v>
      </c>
      <c r="H62" s="71">
        <f ca="1">SUMIFS(Grille!Q:Q,Grille!A:A,Grille_HT5!A62,Grille!C:C,Grille_HT5!B62,Grille!G:G,"Mineur")</f>
        <v>10</v>
      </c>
      <c r="I62" s="71">
        <f ca="1">SUMIFS(Grille!N:N,Grille!A:A,Grille_HT5!A62,Grille!C:C,Grille_HT5!B62,Grille!G:G,"Mineur")</f>
        <v>0</v>
      </c>
      <c r="J62" s="72">
        <f t="shared" ca="1" si="1"/>
        <v>0</v>
      </c>
      <c r="K62" s="71">
        <v>100</v>
      </c>
      <c r="L62" s="73" t="str">
        <f t="shared" si="2"/>
        <v>Non appliqué</v>
      </c>
      <c r="M62" s="73">
        <f t="shared" ca="1" si="3"/>
        <v>1</v>
      </c>
      <c r="N62" s="73" t="str">
        <f>IF(ISNUMBER(F62),F62*L62,F62)</f>
        <v>Non appliqué</v>
      </c>
      <c r="O62" s="73" t="str">
        <f t="shared" si="4"/>
        <v>Non appliqué</v>
      </c>
      <c r="P62" s="73">
        <f ca="1">IF(ISNUMBER(J62),J62*M62,J62)</f>
        <v>0</v>
      </c>
      <c r="Q62" s="73">
        <f t="shared" ca="1" si="5"/>
        <v>0</v>
      </c>
      <c r="R62" s="77"/>
      <c r="S62" s="75"/>
      <c r="T62" s="75"/>
      <c r="U62" s="75"/>
      <c r="V62" s="76"/>
      <c r="W62" s="76"/>
      <c r="X62" s="76"/>
      <c r="Y62" s="134">
        <f>Y60+1</f>
        <v>46</v>
      </c>
    </row>
    <row r="63" spans="1:25" x14ac:dyDescent="0.3">
      <c r="A63" s="4"/>
      <c r="B63" s="4" t="s">
        <v>739</v>
      </c>
      <c r="C63" s="5"/>
      <c r="D63" s="5"/>
      <c r="E63" s="5"/>
      <c r="F63" s="5"/>
      <c r="G63" s="9"/>
      <c r="H63" s="9"/>
      <c r="I63" s="9"/>
      <c r="J63" s="6"/>
      <c r="K63" s="5"/>
      <c r="L63" s="5"/>
      <c r="M63" s="5"/>
      <c r="N63" s="6"/>
      <c r="O63" s="6"/>
      <c r="P63" s="6"/>
      <c r="Q63" s="6"/>
      <c r="R63" s="70">
        <v>25</v>
      </c>
      <c r="S63" s="7">
        <f t="shared" ca="1" si="6"/>
        <v>0.25</v>
      </c>
      <c r="T63" s="7">
        <f ca="1">IFERROR(S63/SUM(S:S),S63)</f>
        <v>0.29411764705882354</v>
      </c>
      <c r="U63" s="7">
        <f ca="1">IFERROR(T63*O64,T63)</f>
        <v>0</v>
      </c>
      <c r="V63" s="7">
        <f t="shared" ca="1" si="7"/>
        <v>0.25</v>
      </c>
      <c r="W63" s="7">
        <f ca="1">IFERROR(V63/SUM(V:V),V63)</f>
        <v>0.25252525252525254</v>
      </c>
      <c r="X63" s="7">
        <f ca="1">IFERROR(W63*Q64,W63)</f>
        <v>0</v>
      </c>
      <c r="Y63" s="134"/>
    </row>
    <row r="64" spans="1:25" x14ac:dyDescent="0.3">
      <c r="A64" s="64" t="s">
        <v>739</v>
      </c>
      <c r="B64" s="64" t="s">
        <v>682</v>
      </c>
      <c r="C64" s="71">
        <f>SUMIFS(Grille!R:R,Grille!A:A,Grille_HT5!A64,Grille!C:C,Grille_HT5!B64,Grille!G:G,"Majeur")</f>
        <v>18</v>
      </c>
      <c r="D64" s="71">
        <f ca="1">SUMIFS(Grille!Q:Q,Grille!A:A,Grille_HT5!A64,Grille!C:C,Grille_HT5!B64,Grille!G:G,"Majeur")</f>
        <v>18</v>
      </c>
      <c r="E64" s="71">
        <f ca="1">SUMIFS(Grille!N:N,Grille!A:A,Grille_HT5!A64,Grille!C:C,Grille_HT5!B64,Grille!G:G,"Majeur")</f>
        <v>0</v>
      </c>
      <c r="F64" s="72">
        <f t="shared" ca="1" si="0"/>
        <v>0</v>
      </c>
      <c r="G64" s="71">
        <f>SUMIFS(Grille!R:R,Grille!A:A,Grille_HT5!A64,Grille!C:C,Grille_HT5!B64,Grille!G:G,"Mineur")</f>
        <v>2</v>
      </c>
      <c r="H64" s="71">
        <f ca="1">SUMIFS(Grille!Q:Q,Grille!A:A,Grille_HT5!A64,Grille!C:C,Grille_HT5!B64,Grille!G:G,"Mineur")</f>
        <v>2</v>
      </c>
      <c r="I64" s="71">
        <f ca="1">SUMIFS(Grille!N:N,Grille!A:A,Grille_HT5!A64,Grille!C:C,Grille_HT5!B64,Grille!G:G,"Mineur")</f>
        <v>0</v>
      </c>
      <c r="J64" s="72">
        <f t="shared" ca="1" si="1"/>
        <v>0</v>
      </c>
      <c r="K64" s="71">
        <v>10</v>
      </c>
      <c r="L64" s="73">
        <f t="shared" ca="1" si="2"/>
        <v>0.1</v>
      </c>
      <c r="M64" s="73">
        <f t="shared" ca="1" si="3"/>
        <v>0.26666666666666666</v>
      </c>
      <c r="N64" s="73">
        <f t="shared" ref="N64:N74" ca="1" si="11">IF(ISNUMBER(F64),F64*L64,F64)</f>
        <v>0</v>
      </c>
      <c r="O64" s="73">
        <f t="shared" ca="1" si="4"/>
        <v>0</v>
      </c>
      <c r="P64" s="73">
        <f t="shared" ref="P64:P74" ca="1" si="12">IF(ISNUMBER(J64),J64*M64,J64)</f>
        <v>0</v>
      </c>
      <c r="Q64" s="73">
        <f t="shared" ca="1" si="5"/>
        <v>0</v>
      </c>
      <c r="R64" s="77"/>
      <c r="S64" s="75"/>
      <c r="T64" s="75"/>
      <c r="U64" s="75"/>
      <c r="V64" s="76"/>
      <c r="W64" s="76"/>
      <c r="X64" s="76"/>
      <c r="Y64" s="134">
        <f>Y62+1</f>
        <v>47</v>
      </c>
    </row>
    <row r="65" spans="1:25" x14ac:dyDescent="0.3">
      <c r="A65" s="64" t="s">
        <v>739</v>
      </c>
      <c r="B65" s="64" t="s">
        <v>742</v>
      </c>
      <c r="C65" s="71">
        <f>SUMIFS(Grille!R:R,Grille!A:A,Grille_HT5!A65,Grille!C:C,Grille_HT5!B65,Grille!G:G,"Majeur")</f>
        <v>17</v>
      </c>
      <c r="D65" s="71">
        <f ca="1">SUMIFS(Grille!Q:Q,Grille!A:A,Grille_HT5!A65,Grille!C:C,Grille_HT5!B65,Grille!G:G,"Majeur")</f>
        <v>17</v>
      </c>
      <c r="E65" s="71">
        <f ca="1">SUMIFS(Grille!N:N,Grille!A:A,Grille_HT5!A65,Grille!C:C,Grille_HT5!B65,Grille!G:G,"Majeur")</f>
        <v>0</v>
      </c>
      <c r="F65" s="72">
        <f t="shared" ca="1" si="0"/>
        <v>0</v>
      </c>
      <c r="G65" s="71">
        <f>SUMIFS(Grille!R:R,Grille!A:A,Grille_HT5!A65,Grille!C:C,Grille_HT5!B65,Grille!G:G,"Mineur")</f>
        <v>0</v>
      </c>
      <c r="H65" s="71">
        <f>SUMIFS(Grille!Q:Q,Grille!A:A,Grille_HT5!A65,Grille!C:C,Grille_HT5!B65,Grille!G:G,"Mineur")</f>
        <v>0</v>
      </c>
      <c r="I65" s="71">
        <f>SUMIFS(Grille!N:N,Grille!A:A,Grille_HT5!A65,Grille!C:C,Grille_HT5!B65,Grille!G:G,"Mineur")</f>
        <v>0</v>
      </c>
      <c r="J65" s="72" t="str">
        <f t="shared" si="1"/>
        <v>Non appliqué</v>
      </c>
      <c r="K65" s="71">
        <v>2.5</v>
      </c>
      <c r="L65" s="73">
        <f t="shared" ca="1" si="2"/>
        <v>2.5000000000000001E-2</v>
      </c>
      <c r="M65" s="73" t="str">
        <f t="shared" si="3"/>
        <v>Non appliqué</v>
      </c>
      <c r="N65" s="73">
        <f t="shared" ca="1" si="11"/>
        <v>0</v>
      </c>
      <c r="O65" s="73">
        <f t="shared" ca="1" si="4"/>
        <v>0</v>
      </c>
      <c r="P65" s="73" t="str">
        <f t="shared" si="12"/>
        <v>Non appliqué</v>
      </c>
      <c r="Q65" s="73">
        <f t="shared" ca="1" si="5"/>
        <v>0</v>
      </c>
      <c r="R65" s="77"/>
      <c r="S65" s="75"/>
      <c r="T65" s="75"/>
      <c r="U65" s="75"/>
      <c r="V65" s="76"/>
      <c r="W65" s="76"/>
      <c r="X65" s="76"/>
      <c r="Y65" s="134">
        <f t="shared" si="8"/>
        <v>48</v>
      </c>
    </row>
    <row r="66" spans="1:25" x14ac:dyDescent="0.3">
      <c r="A66" s="64" t="s">
        <v>739</v>
      </c>
      <c r="B66" s="64" t="s">
        <v>743</v>
      </c>
      <c r="C66" s="71">
        <f>SUMIFS(Grille!R:R,Grille!A:A,Grille_HT5!A66,Grille!C:C,Grille_HT5!B66,Grille!G:G,"Majeur")</f>
        <v>20</v>
      </c>
      <c r="D66" s="71">
        <f ca="1">SUMIFS(Grille!Q:Q,Grille!A:A,Grille_HT5!A66,Grille!C:C,Grille_HT5!B66,Grille!G:G,"Majeur")</f>
        <v>20</v>
      </c>
      <c r="E66" s="71">
        <f ca="1">SUMIFS(Grille!N:N,Grille!A:A,Grille_HT5!A66,Grille!C:C,Grille_HT5!B66,Grille!G:G,"Majeur")</f>
        <v>0</v>
      </c>
      <c r="F66" s="72">
        <f t="shared" ca="1" si="0"/>
        <v>0</v>
      </c>
      <c r="G66" s="71">
        <f>SUMIFS(Grille!R:R,Grille!A:A,Grille_HT5!A66,Grille!C:C,Grille_HT5!B66,Grille!G:G,"Mineur")</f>
        <v>0</v>
      </c>
      <c r="H66" s="71">
        <f>SUMIFS(Grille!Q:Q,Grille!A:A,Grille_HT5!A66,Grille!C:C,Grille_HT5!B66,Grille!G:G,"Mineur")</f>
        <v>0</v>
      </c>
      <c r="I66" s="71">
        <f>SUMIFS(Grille!N:N,Grille!A:A,Grille_HT5!A66,Grille!C:C,Grille_HT5!B66,Grille!G:G,"Mineur")</f>
        <v>0</v>
      </c>
      <c r="J66" s="72" t="str">
        <f t="shared" si="1"/>
        <v>Non appliqué</v>
      </c>
      <c r="K66" s="71">
        <v>5</v>
      </c>
      <c r="L66" s="73">
        <f t="shared" ca="1" si="2"/>
        <v>0.05</v>
      </c>
      <c r="M66" s="73" t="str">
        <f t="shared" si="3"/>
        <v>Non appliqué</v>
      </c>
      <c r="N66" s="73">
        <f t="shared" ca="1" si="11"/>
        <v>0</v>
      </c>
      <c r="O66" s="73">
        <f t="shared" ca="1" si="4"/>
        <v>0</v>
      </c>
      <c r="P66" s="73" t="str">
        <f t="shared" si="12"/>
        <v>Non appliqué</v>
      </c>
      <c r="Q66" s="73">
        <f t="shared" ca="1" si="5"/>
        <v>0</v>
      </c>
      <c r="R66" s="77"/>
      <c r="S66" s="75"/>
      <c r="T66" s="75"/>
      <c r="U66" s="75"/>
      <c r="V66" s="76"/>
      <c r="W66" s="76"/>
      <c r="X66" s="76"/>
      <c r="Y66" s="134">
        <f t="shared" si="8"/>
        <v>49</v>
      </c>
    </row>
    <row r="67" spans="1:25" x14ac:dyDescent="0.3">
      <c r="A67" s="64" t="s">
        <v>739</v>
      </c>
      <c r="B67" s="64" t="s">
        <v>746</v>
      </c>
      <c r="C67" s="71">
        <f>SUMIFS(Grille!R:R,Grille!A:A,Grille_HT5!A67,Grille!C:C,Grille_HT5!B67,Grille!G:G,"Majeur")</f>
        <v>27</v>
      </c>
      <c r="D67" s="71">
        <f ca="1">SUMIFS(Grille!Q:Q,Grille!A:A,Grille_HT5!A67,Grille!C:C,Grille_HT5!B67,Grille!G:G,"Majeur")</f>
        <v>27</v>
      </c>
      <c r="E67" s="71">
        <f ca="1">SUMIFS(Grille!N:N,Grille!A:A,Grille_HT5!A67,Grille!C:C,Grille_HT5!B67,Grille!G:G,"Majeur")</f>
        <v>0</v>
      </c>
      <c r="F67" s="72">
        <f t="shared" ca="1" si="0"/>
        <v>0</v>
      </c>
      <c r="G67" s="71">
        <f>SUMIFS(Grille!R:R,Grille!A:A,Grille_HT5!A67,Grille!C:C,Grille_HT5!B67,Grille!G:G,"Mineur")</f>
        <v>0</v>
      </c>
      <c r="H67" s="71">
        <f>SUMIFS(Grille!Q:Q,Grille!A:A,Grille_HT5!A67,Grille!C:C,Grille_HT5!B67,Grille!G:G,"Mineur")</f>
        <v>0</v>
      </c>
      <c r="I67" s="71">
        <f>SUMIFS(Grille!N:N,Grille!A:A,Grille_HT5!A67,Grille!C:C,Grille_HT5!B67,Grille!G:G,"Mineur")</f>
        <v>0</v>
      </c>
      <c r="J67" s="72" t="str">
        <f t="shared" si="1"/>
        <v>Non appliqué</v>
      </c>
      <c r="K67" s="71">
        <v>20</v>
      </c>
      <c r="L67" s="73">
        <f t="shared" ca="1" si="2"/>
        <v>0.2</v>
      </c>
      <c r="M67" s="73" t="str">
        <f t="shared" si="3"/>
        <v>Non appliqué</v>
      </c>
      <c r="N67" s="73">
        <f t="shared" ca="1" si="11"/>
        <v>0</v>
      </c>
      <c r="O67" s="73">
        <f t="shared" ca="1" si="4"/>
        <v>0</v>
      </c>
      <c r="P67" s="73" t="str">
        <f t="shared" si="12"/>
        <v>Non appliqué</v>
      </c>
      <c r="Q67" s="73">
        <f t="shared" ca="1" si="5"/>
        <v>0</v>
      </c>
      <c r="R67" s="77"/>
      <c r="S67" s="75"/>
      <c r="T67" s="75"/>
      <c r="U67" s="75"/>
      <c r="V67" s="76"/>
      <c r="W67" s="76"/>
      <c r="X67" s="76"/>
      <c r="Y67" s="134">
        <f t="shared" si="8"/>
        <v>50</v>
      </c>
    </row>
    <row r="68" spans="1:25" x14ac:dyDescent="0.3">
      <c r="A68" s="64" t="s">
        <v>739</v>
      </c>
      <c r="B68" s="64" t="s">
        <v>747</v>
      </c>
      <c r="C68" s="71">
        <f>SUMIFS(Grille!R:R,Grille!A:A,Grille_HT5!A68,Grille!C:C,Grille_HT5!B68,Grille!G:G,"Majeur")</f>
        <v>10</v>
      </c>
      <c r="D68" s="71">
        <f ca="1">SUMIFS(Grille!Q:Q,Grille!A:A,Grille_HT5!A68,Grille!C:C,Grille_HT5!B68,Grille!G:G,"Majeur")</f>
        <v>10</v>
      </c>
      <c r="E68" s="71">
        <f ca="1">SUMIFS(Grille!N:N,Grille!A:A,Grille_HT5!A68,Grille!C:C,Grille_HT5!B68,Grille!G:G,"Majeur")</f>
        <v>0</v>
      </c>
      <c r="F68" s="72">
        <f t="shared" ref="F68:F91" ca="1" si="13">IF(C68=0,"Non appliqué",IF(D68=0,"Non concerné",E68/D68))</f>
        <v>0</v>
      </c>
      <c r="G68" s="71">
        <f>SUMIFS(Grille!R:R,Grille!A:A,Grille_HT5!A68,Grille!C:C,Grille_HT5!B68,Grille!G:G,"Mineur")</f>
        <v>0</v>
      </c>
      <c r="H68" s="71">
        <f>SUMIFS(Grille!Q:Q,Grille!A:A,Grille_HT5!A68,Grille!C:C,Grille_HT5!B68,Grille!G:G,"Mineur")</f>
        <v>0</v>
      </c>
      <c r="I68" s="71">
        <f>SUMIFS(Grille!N:N,Grille!A:A,Grille_HT5!A68,Grille!C:C,Grille_HT5!B68,Grille!G:G,"Mineur")</f>
        <v>0</v>
      </c>
      <c r="J68" s="72" t="str">
        <f t="shared" ref="J68:J91" si="14">IF(G68=0,"Non appliqué",IF(H68=0,"Non concerné",I68/H68))</f>
        <v>Non appliqué</v>
      </c>
      <c r="K68" s="71">
        <v>5</v>
      </c>
      <c r="L68" s="73">
        <f t="shared" ref="L68:L91" ca="1" si="15">IF(D68&gt;0,K68/SUMIFS(K:K,A:A,A68,D:D,"&gt;0"),F68)</f>
        <v>0.05</v>
      </c>
      <c r="M68" s="73" t="str">
        <f t="shared" ref="M68:M91" si="16">IF(H68&gt;0,K68/SUMIFS(K:K,A:A,A68,H:H,"&gt;0"),J68)</f>
        <v>Non appliqué</v>
      </c>
      <c r="N68" s="73">
        <f t="shared" ca="1" si="11"/>
        <v>0</v>
      </c>
      <c r="O68" s="73">
        <f t="shared" ref="O68:O91" ca="1" si="17">IF(SUMIFS(C:C,A:A,A68)=0,"Non appliqué",IF(SUMIFS(D:D,A:A,A68)&gt;=0,SUMIFS(N:N,A:A,A68),"Non concerné"))</f>
        <v>0</v>
      </c>
      <c r="P68" s="73" t="str">
        <f t="shared" si="12"/>
        <v>Non appliqué</v>
      </c>
      <c r="Q68" s="73">
        <f t="shared" ref="Q68:Q91" ca="1" si="18">IF(SUMIFS(G:G,A:A,A68)=0,"Non appliqué",IF(SUMIFS(H:H,A:A,A68)&gt;=0,SUMIFS(P:P,A:A,A68),"Non concerné"))</f>
        <v>0</v>
      </c>
      <c r="R68" s="77"/>
      <c r="S68" s="75"/>
      <c r="T68" s="75"/>
      <c r="U68" s="75"/>
      <c r="V68" s="76"/>
      <c r="W68" s="76"/>
      <c r="X68" s="76"/>
      <c r="Y68" s="134">
        <f t="shared" si="8"/>
        <v>51</v>
      </c>
    </row>
    <row r="69" spans="1:25" x14ac:dyDescent="0.3">
      <c r="A69" s="64" t="s">
        <v>739</v>
      </c>
      <c r="B69" s="64" t="s">
        <v>748</v>
      </c>
      <c r="C69" s="71">
        <f>SUMIFS(Grille!R:R,Grille!A:A,Grille_HT5!A69,Grille!C:C,Grille_HT5!B69,Grille!G:G,"Majeur")</f>
        <v>20</v>
      </c>
      <c r="D69" s="71">
        <f ca="1">SUMIFS(Grille!Q:Q,Grille!A:A,Grille_HT5!A69,Grille!C:C,Grille_HT5!B69,Grille!G:G,"Majeur")</f>
        <v>20</v>
      </c>
      <c r="E69" s="71">
        <f ca="1">SUMIFS(Grille!N:N,Grille!A:A,Grille_HT5!A69,Grille!C:C,Grille_HT5!B69,Grille!G:G,"Majeur")</f>
        <v>0</v>
      </c>
      <c r="F69" s="72">
        <f t="shared" ca="1" si="13"/>
        <v>0</v>
      </c>
      <c r="G69" s="71">
        <f>SUMIFS(Grille!R:R,Grille!A:A,Grille_HT5!A69,Grille!C:C,Grille_HT5!B69,Grille!G:G,"Mineur")</f>
        <v>0</v>
      </c>
      <c r="H69" s="71">
        <f>SUMIFS(Grille!Q:Q,Grille!A:A,Grille_HT5!A69,Grille!C:C,Grille_HT5!B69,Grille!G:G,"Mineur")</f>
        <v>0</v>
      </c>
      <c r="I69" s="71">
        <f>SUMIFS(Grille!N:N,Grille!A:A,Grille_HT5!A69,Grille!C:C,Grille_HT5!B69,Grille!G:G,"Mineur")</f>
        <v>0</v>
      </c>
      <c r="J69" s="72" t="str">
        <f t="shared" si="14"/>
        <v>Non appliqué</v>
      </c>
      <c r="K69" s="71">
        <v>20</v>
      </c>
      <c r="L69" s="73">
        <f t="shared" ca="1" si="15"/>
        <v>0.2</v>
      </c>
      <c r="M69" s="73" t="str">
        <f t="shared" si="16"/>
        <v>Non appliqué</v>
      </c>
      <c r="N69" s="73">
        <f t="shared" ca="1" si="11"/>
        <v>0</v>
      </c>
      <c r="O69" s="73">
        <f t="shared" ca="1" si="17"/>
        <v>0</v>
      </c>
      <c r="P69" s="73" t="str">
        <f t="shared" si="12"/>
        <v>Non appliqué</v>
      </c>
      <c r="Q69" s="73">
        <f t="shared" ca="1" si="18"/>
        <v>0</v>
      </c>
      <c r="R69" s="77"/>
      <c r="S69" s="75"/>
      <c r="T69" s="75"/>
      <c r="U69" s="75"/>
      <c r="V69" s="76"/>
      <c r="W69" s="76"/>
      <c r="X69" s="76"/>
      <c r="Y69" s="134">
        <f t="shared" ref="Y69:Y91" si="19">Y68+1</f>
        <v>52</v>
      </c>
    </row>
    <row r="70" spans="1:25" x14ac:dyDescent="0.3">
      <c r="A70" s="64" t="s">
        <v>739</v>
      </c>
      <c r="B70" s="64" t="s">
        <v>751</v>
      </c>
      <c r="C70" s="71">
        <f>SUMIFS(Grille!R:R,Grille!A:A,Grille_HT5!A70,Grille!C:C,Grille_HT5!B70,Grille!G:G,"Majeur")</f>
        <v>20</v>
      </c>
      <c r="D70" s="71">
        <f ca="1">SUMIFS(Grille!Q:Q,Grille!A:A,Grille_HT5!A70,Grille!C:C,Grille_HT5!B70,Grille!G:G,"Majeur")</f>
        <v>20</v>
      </c>
      <c r="E70" s="71">
        <f ca="1">SUMIFS(Grille!N:N,Grille!A:A,Grille_HT5!A70,Grille!C:C,Grille_HT5!B70,Grille!G:G,"Majeur")</f>
        <v>0</v>
      </c>
      <c r="F70" s="72">
        <f t="shared" ca="1" si="13"/>
        <v>0</v>
      </c>
      <c r="G70" s="71">
        <f>SUMIFS(Grille!R:R,Grille!A:A,Grille_HT5!A70,Grille!C:C,Grille_HT5!B70,Grille!G:G,"Mineur")</f>
        <v>0</v>
      </c>
      <c r="H70" s="71">
        <f>SUMIFS(Grille!Q:Q,Grille!A:A,Grille_HT5!A70,Grille!C:C,Grille_HT5!B70,Grille!G:G,"Mineur")</f>
        <v>0</v>
      </c>
      <c r="I70" s="71">
        <f>SUMIFS(Grille!N:N,Grille!A:A,Grille_HT5!A70,Grille!C:C,Grille_HT5!B70,Grille!G:G,"Mineur")</f>
        <v>0</v>
      </c>
      <c r="J70" s="72" t="str">
        <f t="shared" si="14"/>
        <v>Non appliqué</v>
      </c>
      <c r="K70" s="71">
        <v>5</v>
      </c>
      <c r="L70" s="73">
        <f t="shared" ca="1" si="15"/>
        <v>0.05</v>
      </c>
      <c r="M70" s="73" t="str">
        <f t="shared" si="16"/>
        <v>Non appliqué</v>
      </c>
      <c r="N70" s="73">
        <f t="shared" ca="1" si="11"/>
        <v>0</v>
      </c>
      <c r="O70" s="73">
        <f t="shared" ca="1" si="17"/>
        <v>0</v>
      </c>
      <c r="P70" s="73" t="str">
        <f t="shared" si="12"/>
        <v>Non appliqué</v>
      </c>
      <c r="Q70" s="73">
        <f t="shared" ca="1" si="18"/>
        <v>0</v>
      </c>
      <c r="R70" s="77"/>
      <c r="S70" s="75"/>
      <c r="T70" s="75"/>
      <c r="U70" s="75"/>
      <c r="V70" s="76"/>
      <c r="W70" s="76"/>
      <c r="X70" s="76"/>
      <c r="Y70" s="134">
        <f t="shared" si="19"/>
        <v>53</v>
      </c>
    </row>
    <row r="71" spans="1:25" x14ac:dyDescent="0.3">
      <c r="A71" s="64" t="s">
        <v>739</v>
      </c>
      <c r="B71" s="64" t="s">
        <v>752</v>
      </c>
      <c r="C71" s="71">
        <f>SUMIFS(Grille!R:R,Grille!A:A,Grille_HT5!A71,Grille!C:C,Grille_HT5!B71,Grille!G:G,"Majeur")</f>
        <v>14</v>
      </c>
      <c r="D71" s="71">
        <f ca="1">SUMIFS(Grille!Q:Q,Grille!A:A,Grille_HT5!A71,Grille!C:C,Grille_HT5!B71,Grille!G:G,"Majeur")</f>
        <v>14</v>
      </c>
      <c r="E71" s="71">
        <f ca="1">SUMIFS(Grille!N:N,Grille!A:A,Grille_HT5!A71,Grille!C:C,Grille_HT5!B71,Grille!G:G,"Majeur")</f>
        <v>0</v>
      </c>
      <c r="F71" s="72">
        <f t="shared" ca="1" si="13"/>
        <v>0</v>
      </c>
      <c r="G71" s="71">
        <f>SUMIFS(Grille!R:R,Grille!A:A,Grille_HT5!A71,Grille!C:C,Grille_HT5!B71,Grille!G:G,"Mineur")</f>
        <v>0</v>
      </c>
      <c r="H71" s="71">
        <f>SUMIFS(Grille!Q:Q,Grille!A:A,Grille_HT5!A71,Grille!C:C,Grille_HT5!B71,Grille!G:G,"Mineur")</f>
        <v>0</v>
      </c>
      <c r="I71" s="71">
        <f>SUMIFS(Grille!N:N,Grille!A:A,Grille_HT5!A71,Grille!C:C,Grille_HT5!B71,Grille!G:G,"Mineur")</f>
        <v>0</v>
      </c>
      <c r="J71" s="72" t="str">
        <f t="shared" si="14"/>
        <v>Non appliqué</v>
      </c>
      <c r="K71" s="71">
        <v>5</v>
      </c>
      <c r="L71" s="73">
        <f t="shared" ca="1" si="15"/>
        <v>0.05</v>
      </c>
      <c r="M71" s="73" t="str">
        <f t="shared" si="16"/>
        <v>Non appliqué</v>
      </c>
      <c r="N71" s="73">
        <f t="shared" ca="1" si="11"/>
        <v>0</v>
      </c>
      <c r="O71" s="73">
        <f t="shared" ca="1" si="17"/>
        <v>0</v>
      </c>
      <c r="P71" s="73" t="str">
        <f t="shared" si="12"/>
        <v>Non appliqué</v>
      </c>
      <c r="Q71" s="73">
        <f t="shared" ca="1" si="18"/>
        <v>0</v>
      </c>
      <c r="R71" s="77"/>
      <c r="S71" s="75"/>
      <c r="T71" s="75"/>
      <c r="U71" s="75"/>
      <c r="V71" s="76"/>
      <c r="W71" s="76"/>
      <c r="X71" s="76"/>
      <c r="Y71" s="134">
        <f t="shared" si="19"/>
        <v>54</v>
      </c>
    </row>
    <row r="72" spans="1:25" ht="25.2" x14ac:dyDescent="0.3">
      <c r="A72" s="64" t="s">
        <v>739</v>
      </c>
      <c r="B72" s="64" t="s">
        <v>753</v>
      </c>
      <c r="C72" s="71">
        <f>SUMIFS(Grille!R:R,Grille!A:A,Grille_HT5!A72,Grille!C:C,Grille_HT5!B72,Grille!G:G,"Majeur")</f>
        <v>18</v>
      </c>
      <c r="D72" s="71">
        <f ca="1">SUMIFS(Grille!Q:Q,Grille!A:A,Grille_HT5!A72,Grille!C:C,Grille_HT5!B72,Grille!G:G,"Majeur")</f>
        <v>18</v>
      </c>
      <c r="E72" s="71">
        <f ca="1">SUMIFS(Grille!N:N,Grille!A:A,Grille_HT5!A72,Grille!C:C,Grille_HT5!B72,Grille!G:G,"Majeur")</f>
        <v>0</v>
      </c>
      <c r="F72" s="72">
        <f t="shared" ca="1" si="13"/>
        <v>0</v>
      </c>
      <c r="G72" s="71">
        <f>SUMIFS(Grille!R:R,Grille!A:A,Grille_HT5!A72,Grille!C:C,Grille_HT5!B72,Grille!G:G,"Mineur")</f>
        <v>2</v>
      </c>
      <c r="H72" s="71">
        <f ca="1">SUMIFS(Grille!Q:Q,Grille!A:A,Grille_HT5!A72,Grille!C:C,Grille_HT5!B72,Grille!G:G,"Mineur")</f>
        <v>2</v>
      </c>
      <c r="I72" s="71">
        <f ca="1">SUMIFS(Grille!N:N,Grille!A:A,Grille_HT5!A72,Grille!C:C,Grille_HT5!B72,Grille!G:G,"Mineur")</f>
        <v>0</v>
      </c>
      <c r="J72" s="72">
        <f t="shared" ca="1" si="14"/>
        <v>0</v>
      </c>
      <c r="K72" s="71">
        <v>7.5</v>
      </c>
      <c r="L72" s="73">
        <f t="shared" ca="1" si="15"/>
        <v>7.4999999999999997E-2</v>
      </c>
      <c r="M72" s="73">
        <f t="shared" ca="1" si="16"/>
        <v>0.2</v>
      </c>
      <c r="N72" s="73">
        <f t="shared" ca="1" si="11"/>
        <v>0</v>
      </c>
      <c r="O72" s="73">
        <f t="shared" ca="1" si="17"/>
        <v>0</v>
      </c>
      <c r="P72" s="73">
        <f t="shared" ca="1" si="12"/>
        <v>0</v>
      </c>
      <c r="Q72" s="73">
        <f t="shared" ca="1" si="18"/>
        <v>0</v>
      </c>
      <c r="R72" s="77"/>
      <c r="S72" s="75"/>
      <c r="T72" s="75"/>
      <c r="U72" s="75"/>
      <c r="V72" s="76"/>
      <c r="W72" s="76"/>
      <c r="X72" s="76"/>
      <c r="Y72" s="134">
        <f t="shared" si="19"/>
        <v>55</v>
      </c>
    </row>
    <row r="73" spans="1:25" x14ac:dyDescent="0.3">
      <c r="A73" s="64" t="s">
        <v>739</v>
      </c>
      <c r="B73" s="64" t="s">
        <v>755</v>
      </c>
      <c r="C73" s="71">
        <f>SUMIFS(Grille!R:R,Grille!A:A,Grille_HT5!A73,Grille!C:C,Grille_HT5!B73,Grille!G:G,"Majeur")</f>
        <v>18</v>
      </c>
      <c r="D73" s="71">
        <f ca="1">SUMIFS(Grille!Q:Q,Grille!A:A,Grille_HT5!A73,Grille!C:C,Grille_HT5!B73,Grille!G:G,"Majeur")</f>
        <v>18</v>
      </c>
      <c r="E73" s="71">
        <f ca="1">SUMIFS(Grille!N:N,Grille!A:A,Grille_HT5!A73,Grille!C:C,Grille_HT5!B73,Grille!G:G,"Majeur")</f>
        <v>0</v>
      </c>
      <c r="F73" s="72">
        <f t="shared" ca="1" si="13"/>
        <v>0</v>
      </c>
      <c r="G73" s="71">
        <f>SUMIFS(Grille!R:R,Grille!A:A,Grille_HT5!A73,Grille!C:C,Grille_HT5!B73,Grille!G:G,"Mineur")</f>
        <v>6</v>
      </c>
      <c r="H73" s="71">
        <f ca="1">SUMIFS(Grille!Q:Q,Grille!A:A,Grille_HT5!A73,Grille!C:C,Grille_HT5!B73,Grille!G:G,"Mineur")</f>
        <v>6</v>
      </c>
      <c r="I73" s="71">
        <f ca="1">SUMIFS(Grille!N:N,Grille!A:A,Grille_HT5!A73,Grille!C:C,Grille_HT5!B73,Grille!G:G,"Mineur")</f>
        <v>0</v>
      </c>
      <c r="J73" s="72">
        <f t="shared" ca="1" si="14"/>
        <v>0</v>
      </c>
      <c r="K73" s="71">
        <v>10</v>
      </c>
      <c r="L73" s="73">
        <f t="shared" ca="1" si="15"/>
        <v>0.1</v>
      </c>
      <c r="M73" s="73">
        <f t="shared" ca="1" si="16"/>
        <v>0.26666666666666666</v>
      </c>
      <c r="N73" s="73">
        <f t="shared" ca="1" si="11"/>
        <v>0</v>
      </c>
      <c r="O73" s="73">
        <f t="shared" ca="1" si="17"/>
        <v>0</v>
      </c>
      <c r="P73" s="73">
        <f t="shared" ca="1" si="12"/>
        <v>0</v>
      </c>
      <c r="Q73" s="73">
        <f t="shared" ca="1" si="18"/>
        <v>0</v>
      </c>
      <c r="R73" s="77"/>
      <c r="S73" s="75"/>
      <c r="T73" s="75"/>
      <c r="U73" s="75"/>
      <c r="V73" s="76"/>
      <c r="W73" s="76"/>
      <c r="X73" s="76"/>
      <c r="Y73" s="134">
        <f t="shared" si="19"/>
        <v>56</v>
      </c>
    </row>
    <row r="74" spans="1:25" x14ac:dyDescent="0.3">
      <c r="A74" s="64" t="s">
        <v>739</v>
      </c>
      <c r="B74" s="64" t="s">
        <v>756</v>
      </c>
      <c r="C74" s="71">
        <f>SUMIFS(Grille!R:R,Grille!A:A,Grille_HT5!A74,Grille!C:C,Grille_HT5!B74,Grille!G:G,"Majeur")</f>
        <v>6</v>
      </c>
      <c r="D74" s="71">
        <f ca="1">SUMIFS(Grille!Q:Q,Grille!A:A,Grille_HT5!A74,Grille!C:C,Grille_HT5!B74,Grille!G:G,"Majeur")</f>
        <v>6</v>
      </c>
      <c r="E74" s="71">
        <f ca="1">SUMIFS(Grille!N:N,Grille!A:A,Grille_HT5!A74,Grille!C:C,Grille_HT5!B74,Grille!G:G,"Majeur")</f>
        <v>0</v>
      </c>
      <c r="F74" s="72">
        <f t="shared" ca="1" si="13"/>
        <v>0</v>
      </c>
      <c r="G74" s="71">
        <f>SUMIFS(Grille!R:R,Grille!A:A,Grille_HT5!A74,Grille!C:C,Grille_HT5!B74,Grille!G:G,"Mineur")</f>
        <v>2</v>
      </c>
      <c r="H74" s="71">
        <f ca="1">SUMIFS(Grille!Q:Q,Grille!A:A,Grille_HT5!A74,Grille!C:C,Grille_HT5!B74,Grille!G:G,"Mineur")</f>
        <v>2</v>
      </c>
      <c r="I74" s="71">
        <f ca="1">SUMIFS(Grille!N:N,Grille!A:A,Grille_HT5!A74,Grille!C:C,Grille_HT5!B74,Grille!G:G,"Mineur")</f>
        <v>0</v>
      </c>
      <c r="J74" s="72">
        <f t="shared" ca="1" si="14"/>
        <v>0</v>
      </c>
      <c r="K74" s="71">
        <v>10</v>
      </c>
      <c r="L74" s="73">
        <f t="shared" ca="1" si="15"/>
        <v>0.1</v>
      </c>
      <c r="M74" s="73">
        <f t="shared" ca="1" si="16"/>
        <v>0.26666666666666666</v>
      </c>
      <c r="N74" s="73">
        <f t="shared" ca="1" si="11"/>
        <v>0</v>
      </c>
      <c r="O74" s="73">
        <f t="shared" ca="1" si="17"/>
        <v>0</v>
      </c>
      <c r="P74" s="73">
        <f t="shared" ca="1" si="12"/>
        <v>0</v>
      </c>
      <c r="Q74" s="73">
        <f t="shared" ca="1" si="18"/>
        <v>0</v>
      </c>
      <c r="R74" s="77"/>
      <c r="S74" s="75"/>
      <c r="T74" s="75"/>
      <c r="U74" s="75"/>
      <c r="V74" s="76"/>
      <c r="W74" s="76"/>
      <c r="X74" s="76"/>
      <c r="Y74" s="134">
        <f t="shared" si="19"/>
        <v>57</v>
      </c>
    </row>
    <row r="75" spans="1:25" x14ac:dyDescent="0.3">
      <c r="A75" s="4"/>
      <c r="B75" s="4" t="str">
        <f>A76</f>
        <v>Salle de bain et toilettes</v>
      </c>
      <c r="C75" s="5"/>
      <c r="D75" s="5"/>
      <c r="E75" s="5"/>
      <c r="F75" s="5"/>
      <c r="G75" s="9"/>
      <c r="H75" s="9"/>
      <c r="I75" s="9"/>
      <c r="J75" s="6"/>
      <c r="K75" s="5"/>
      <c r="L75" s="5"/>
      <c r="M75" s="5"/>
      <c r="N75" s="6"/>
      <c r="O75" s="6"/>
      <c r="P75" s="6"/>
      <c r="Q75" s="6"/>
      <c r="R75" s="70">
        <v>10</v>
      </c>
      <c r="S75" s="7">
        <f t="shared" ref="S75:S88" ca="1" si="20">IF(SUMIF($A:$A,$A76,D:D)&gt;0,R75/SUM($R:$R),O76)</f>
        <v>0.1</v>
      </c>
      <c r="T75" s="7">
        <f ca="1">IFERROR(S75/SUM(S:S),S75)</f>
        <v>0.11764705882352942</v>
      </c>
      <c r="U75" s="7">
        <f ca="1">IFERROR(T75*O76,T75)</f>
        <v>0</v>
      </c>
      <c r="V75" s="7">
        <f t="shared" ref="V75:V88" ca="1" si="21">IF(SUMIF($A:$A,$A76,H:H)&gt;0,R75/SUM(R:R),Q76)</f>
        <v>0.1</v>
      </c>
      <c r="W75" s="7">
        <f ca="1">IFERROR(V75/SUM(V:V),V75)</f>
        <v>0.10101010101010102</v>
      </c>
      <c r="X75" s="7">
        <f ca="1">IFERROR(W75*Q76,W75)</f>
        <v>0</v>
      </c>
      <c r="Y75" s="134"/>
    </row>
    <row r="76" spans="1:25" x14ac:dyDescent="0.3">
      <c r="A76" s="64" t="s">
        <v>757</v>
      </c>
      <c r="B76" s="64" t="s">
        <v>682</v>
      </c>
      <c r="C76" s="71">
        <f>SUMIFS(Grille!R:R,Grille!A:A,Grille_HT5!A76,Grille!C:C,Grille_HT5!B76,Grille!G:G,"Majeur")</f>
        <v>10</v>
      </c>
      <c r="D76" s="71">
        <f ca="1">SUMIFS(Grille!Q:Q,Grille!A:A,Grille_HT5!A76,Grille!C:C,Grille_HT5!B76,Grille!G:G,"Majeur")</f>
        <v>10</v>
      </c>
      <c r="E76" s="71">
        <f ca="1">SUMIFS(Grille!N:N,Grille!A:A,Grille_HT5!A76,Grille!C:C,Grille_HT5!B76,Grille!G:G,"Majeur")</f>
        <v>0</v>
      </c>
      <c r="F76" s="72">
        <f t="shared" ca="1" si="13"/>
        <v>0</v>
      </c>
      <c r="G76" s="71">
        <f>SUMIFS(Grille!R:R,Grille!A:A,Grille_HT5!A76,Grille!C:C,Grille_HT5!B76,Grille!G:G,"Mineur")</f>
        <v>1</v>
      </c>
      <c r="H76" s="71">
        <f ca="1">SUMIFS(Grille!Q:Q,Grille!A:A,Grille_HT5!A76,Grille!C:C,Grille_HT5!B76,Grille!G:G,"Mineur")</f>
        <v>1</v>
      </c>
      <c r="I76" s="71">
        <f ca="1">SUMIFS(Grille!N:N,Grille!A:A,Grille_HT5!A76,Grille!C:C,Grille_HT5!B76,Grille!G:G,"Mineur")</f>
        <v>0</v>
      </c>
      <c r="J76" s="72">
        <f t="shared" ca="1" si="14"/>
        <v>0</v>
      </c>
      <c r="K76" s="71">
        <v>10</v>
      </c>
      <c r="L76" s="73">
        <f t="shared" ca="1" si="15"/>
        <v>0.10989010989010989</v>
      </c>
      <c r="M76" s="73">
        <f t="shared" ca="1" si="16"/>
        <v>0.125</v>
      </c>
      <c r="N76" s="73">
        <f t="shared" ref="N76:N83" ca="1" si="22">IF(ISNUMBER(F76),F76*L76,F76)</f>
        <v>0</v>
      </c>
      <c r="O76" s="73">
        <f t="shared" ca="1" si="17"/>
        <v>0</v>
      </c>
      <c r="P76" s="73">
        <f t="shared" ref="P76:P83" ca="1" si="23">IF(ISNUMBER(J76),J76*M76,J76)</f>
        <v>0</v>
      </c>
      <c r="Q76" s="73">
        <f t="shared" ca="1" si="18"/>
        <v>0</v>
      </c>
      <c r="R76" s="77"/>
      <c r="S76" s="75"/>
      <c r="T76" s="75"/>
      <c r="U76" s="75"/>
      <c r="V76" s="76"/>
      <c r="W76" s="76"/>
      <c r="X76" s="76"/>
      <c r="Y76" s="134">
        <f>Y74+1</f>
        <v>58</v>
      </c>
    </row>
    <row r="77" spans="1:25" x14ac:dyDescent="0.3">
      <c r="A77" s="64" t="s">
        <v>757</v>
      </c>
      <c r="B77" s="64" t="s">
        <v>675</v>
      </c>
      <c r="C77" s="71">
        <f>SUMIFS(Grille!R:R,Grille!A:A,Grille_HT5!A77,Grille!C:C,Grille_HT5!B77,Grille!G:G,"Majeur")</f>
        <v>17</v>
      </c>
      <c r="D77" s="71">
        <f ca="1">SUMIFS(Grille!Q:Q,Grille!A:A,Grille_HT5!A77,Grille!C:C,Grille_HT5!B77,Grille!G:G,"Majeur")</f>
        <v>17</v>
      </c>
      <c r="E77" s="71">
        <f ca="1">SUMIFS(Grille!N:N,Grille!A:A,Grille_HT5!A77,Grille!C:C,Grille_HT5!B77,Grille!G:G,"Majeur")</f>
        <v>0</v>
      </c>
      <c r="F77" s="72">
        <f t="shared" ca="1" si="13"/>
        <v>0</v>
      </c>
      <c r="G77" s="71">
        <f>SUMIFS(Grille!R:R,Grille!A:A,Grille_HT5!A77,Grille!C:C,Grille_HT5!B77,Grille!G:G,"Mineur")</f>
        <v>0</v>
      </c>
      <c r="H77" s="71">
        <f>SUMIFS(Grille!Q:Q,Grille!A:A,Grille_HT5!A77,Grille!C:C,Grille_HT5!B77,Grille!G:G,"Mineur")</f>
        <v>0</v>
      </c>
      <c r="I77" s="71">
        <f>SUMIFS(Grille!N:N,Grille!A:A,Grille_HT5!A77,Grille!C:C,Grille_HT5!B77,Grille!G:G,"Mineur")</f>
        <v>0</v>
      </c>
      <c r="J77" s="72" t="str">
        <f t="shared" si="14"/>
        <v>Non appliqué</v>
      </c>
      <c r="K77" s="71">
        <v>10</v>
      </c>
      <c r="L77" s="73">
        <f t="shared" ca="1" si="15"/>
        <v>0.10989010989010989</v>
      </c>
      <c r="M77" s="73" t="str">
        <f t="shared" si="16"/>
        <v>Non appliqué</v>
      </c>
      <c r="N77" s="73">
        <f t="shared" ca="1" si="22"/>
        <v>0</v>
      </c>
      <c r="O77" s="73">
        <f t="shared" ca="1" si="17"/>
        <v>0</v>
      </c>
      <c r="P77" s="73" t="str">
        <f t="shared" si="23"/>
        <v>Non appliqué</v>
      </c>
      <c r="Q77" s="73">
        <f t="shared" ca="1" si="18"/>
        <v>0</v>
      </c>
      <c r="R77" s="77"/>
      <c r="S77" s="75"/>
      <c r="T77" s="75"/>
      <c r="U77" s="75"/>
      <c r="V77" s="76"/>
      <c r="W77" s="76"/>
      <c r="X77" s="76"/>
      <c r="Y77" s="134">
        <f t="shared" si="19"/>
        <v>59</v>
      </c>
    </row>
    <row r="78" spans="1:25" x14ac:dyDescent="0.3">
      <c r="A78" s="64" t="s">
        <v>757</v>
      </c>
      <c r="B78" s="64" t="s">
        <v>759</v>
      </c>
      <c r="C78" s="71">
        <f>SUMIFS(Grille!R:R,Grille!A:A,Grille_HT5!A78,Grille!C:C,Grille_HT5!B78,Grille!G:G,"Majeur")</f>
        <v>28</v>
      </c>
      <c r="D78" s="71">
        <f ca="1">SUMIFS(Grille!Q:Q,Grille!A:A,Grille_HT5!A78,Grille!C:C,Grille_HT5!B78,Grille!G:G,"Majeur")</f>
        <v>28</v>
      </c>
      <c r="E78" s="71">
        <f ca="1">SUMIFS(Grille!N:N,Grille!A:A,Grille_HT5!A78,Grille!C:C,Grille_HT5!B78,Grille!G:G,"Majeur")</f>
        <v>0</v>
      </c>
      <c r="F78" s="72">
        <f t="shared" ca="1" si="13"/>
        <v>0</v>
      </c>
      <c r="G78" s="71">
        <f>SUMIFS(Grille!R:R,Grille!A:A,Grille_HT5!A78,Grille!C:C,Grille_HT5!B78,Grille!G:G,"Mineur")</f>
        <v>1</v>
      </c>
      <c r="H78" s="71">
        <f ca="1">SUMIFS(Grille!Q:Q,Grille!A:A,Grille_HT5!A78,Grille!C:C,Grille_HT5!B78,Grille!G:G,"Mineur")</f>
        <v>1</v>
      </c>
      <c r="I78" s="71">
        <f ca="1">SUMIFS(Grille!N:N,Grille!A:A,Grille_HT5!A78,Grille!C:C,Grille_HT5!B78,Grille!G:G,"Mineur")</f>
        <v>0</v>
      </c>
      <c r="J78" s="72">
        <f t="shared" ca="1" si="14"/>
        <v>0</v>
      </c>
      <c r="K78" s="71">
        <v>20</v>
      </c>
      <c r="L78" s="73">
        <f t="shared" ca="1" si="15"/>
        <v>0.21978021978021978</v>
      </c>
      <c r="M78" s="73">
        <f t="shared" ca="1" si="16"/>
        <v>0.25</v>
      </c>
      <c r="N78" s="73">
        <f t="shared" ca="1" si="22"/>
        <v>0</v>
      </c>
      <c r="O78" s="73">
        <f t="shared" ca="1" si="17"/>
        <v>0</v>
      </c>
      <c r="P78" s="73">
        <f t="shared" ca="1" si="23"/>
        <v>0</v>
      </c>
      <c r="Q78" s="73">
        <f t="shared" ca="1" si="18"/>
        <v>0</v>
      </c>
      <c r="R78" s="77"/>
      <c r="S78" s="75"/>
      <c r="T78" s="75"/>
      <c r="U78" s="75"/>
      <c r="V78" s="76"/>
      <c r="W78" s="76"/>
      <c r="X78" s="76"/>
      <c r="Y78" s="134">
        <f t="shared" si="19"/>
        <v>60</v>
      </c>
    </row>
    <row r="79" spans="1:25" x14ac:dyDescent="0.3">
      <c r="A79" s="64" t="s">
        <v>757</v>
      </c>
      <c r="B79" s="64" t="s">
        <v>761</v>
      </c>
      <c r="C79" s="71">
        <f>SUMIFS(Grille!R:R,Grille!A:A,Grille_HT5!A79,Grille!C:C,Grille_HT5!B79,Grille!G:G,"Majeur")</f>
        <v>0</v>
      </c>
      <c r="D79" s="71">
        <f>SUMIFS(Grille!Q:Q,Grille!A:A,Grille_HT5!A79,Grille!C:C,Grille_HT5!B79,Grille!G:G,"Majeur")</f>
        <v>0</v>
      </c>
      <c r="E79" s="71">
        <f>SUMIFS(Grille!N:N,Grille!A:A,Grille_HT5!A79,Grille!C:C,Grille_HT5!B79,Grille!G:G,"Majeur")</f>
        <v>0</v>
      </c>
      <c r="F79" s="72" t="str">
        <f t="shared" si="13"/>
        <v>Non appliqué</v>
      </c>
      <c r="G79" s="71">
        <f>SUMIFS(Grille!R:R,Grille!A:A,Grille_HT5!A79,Grille!C:C,Grille_HT5!B79,Grille!G:G,"Mineur")</f>
        <v>18</v>
      </c>
      <c r="H79" s="71">
        <f ca="1">SUMIFS(Grille!Q:Q,Grille!A:A,Grille_HT5!A79,Grille!C:C,Grille_HT5!B79,Grille!G:G,"Mineur")</f>
        <v>18</v>
      </c>
      <c r="I79" s="71">
        <f ca="1">SUMIFS(Grille!N:N,Grille!A:A,Grille_HT5!A79,Grille!C:C,Grille_HT5!B79,Grille!G:G,"Mineur")</f>
        <v>0</v>
      </c>
      <c r="J79" s="72">
        <f t="shared" ca="1" si="14"/>
        <v>0</v>
      </c>
      <c r="K79" s="71">
        <v>10</v>
      </c>
      <c r="L79" s="73" t="str">
        <f t="shared" si="15"/>
        <v>Non appliqué</v>
      </c>
      <c r="M79" s="73">
        <f t="shared" ca="1" si="16"/>
        <v>0.125</v>
      </c>
      <c r="N79" s="73" t="str">
        <f t="shared" si="22"/>
        <v>Non appliqué</v>
      </c>
      <c r="O79" s="73">
        <f t="shared" ca="1" si="17"/>
        <v>0</v>
      </c>
      <c r="P79" s="73">
        <f t="shared" ca="1" si="23"/>
        <v>0</v>
      </c>
      <c r="Q79" s="73">
        <f t="shared" ca="1" si="18"/>
        <v>0</v>
      </c>
      <c r="R79" s="77"/>
      <c r="S79" s="75"/>
      <c r="T79" s="75"/>
      <c r="U79" s="75"/>
      <c r="V79" s="76"/>
      <c r="W79" s="76"/>
      <c r="X79" s="76"/>
      <c r="Y79" s="134">
        <f t="shared" si="19"/>
        <v>61</v>
      </c>
    </row>
    <row r="80" spans="1:25" ht="25.2" x14ac:dyDescent="0.3">
      <c r="A80" s="64" t="s">
        <v>757</v>
      </c>
      <c r="B80" s="64" t="s">
        <v>762</v>
      </c>
      <c r="C80" s="71">
        <f>SUMIFS(Grille!R:R,Grille!A:A,Grille_HT5!A80,Grille!C:C,Grille_HT5!B80,Grille!G:G,"Majeur")</f>
        <v>14</v>
      </c>
      <c r="D80" s="71">
        <f ca="1">SUMIFS(Grille!Q:Q,Grille!A:A,Grille_HT5!A80,Grille!C:C,Grille_HT5!B80,Grille!G:G,"Majeur")</f>
        <v>14</v>
      </c>
      <c r="E80" s="71">
        <f ca="1">SUMIFS(Grille!N:N,Grille!A:A,Grille_HT5!A80,Grille!C:C,Grille_HT5!B80,Grille!G:G,"Majeur")</f>
        <v>0</v>
      </c>
      <c r="F80" s="72">
        <f t="shared" ca="1" si="13"/>
        <v>0</v>
      </c>
      <c r="G80" s="71">
        <f>SUMIFS(Grille!R:R,Grille!A:A,Grille_HT5!A80,Grille!C:C,Grille_HT5!B80,Grille!G:G,"Mineur")</f>
        <v>2</v>
      </c>
      <c r="H80" s="71">
        <f ca="1">SUMIFS(Grille!Q:Q,Grille!A:A,Grille_HT5!A80,Grille!C:C,Grille_HT5!B80,Grille!G:G,"Mineur")</f>
        <v>2</v>
      </c>
      <c r="I80" s="71">
        <f ca="1">SUMIFS(Grille!N:N,Grille!A:A,Grille_HT5!A80,Grille!C:C,Grille_HT5!B80,Grille!G:G,"Mineur")</f>
        <v>0</v>
      </c>
      <c r="J80" s="72">
        <f t="shared" ca="1" si="14"/>
        <v>0</v>
      </c>
      <c r="K80" s="71">
        <v>10</v>
      </c>
      <c r="L80" s="73">
        <f t="shared" ca="1" si="15"/>
        <v>0.10989010989010989</v>
      </c>
      <c r="M80" s="73">
        <f t="shared" ca="1" si="16"/>
        <v>0.125</v>
      </c>
      <c r="N80" s="73">
        <f t="shared" ca="1" si="22"/>
        <v>0</v>
      </c>
      <c r="O80" s="73">
        <f t="shared" ca="1" si="17"/>
        <v>0</v>
      </c>
      <c r="P80" s="73">
        <f t="shared" ca="1" si="23"/>
        <v>0</v>
      </c>
      <c r="Q80" s="73">
        <f t="shared" ca="1" si="18"/>
        <v>0</v>
      </c>
      <c r="R80" s="77"/>
      <c r="S80" s="75"/>
      <c r="T80" s="75"/>
      <c r="U80" s="75"/>
      <c r="V80" s="76"/>
      <c r="W80" s="76"/>
      <c r="X80" s="76"/>
      <c r="Y80" s="134">
        <f t="shared" si="19"/>
        <v>62</v>
      </c>
    </row>
    <row r="81" spans="1:25" x14ac:dyDescent="0.3">
      <c r="A81" s="64" t="s">
        <v>757</v>
      </c>
      <c r="B81" s="64" t="s">
        <v>763</v>
      </c>
      <c r="C81" s="71">
        <f>SUMIFS(Grille!R:R,Grille!A:A,Grille_HT5!A81,Grille!C:C,Grille_HT5!B81,Grille!G:G,"Majeur")</f>
        <v>18</v>
      </c>
      <c r="D81" s="71">
        <f ca="1">SUMIFS(Grille!Q:Q,Grille!A:A,Grille_HT5!A81,Grille!C:C,Grille_HT5!B81,Grille!G:G,"Majeur")</f>
        <v>18</v>
      </c>
      <c r="E81" s="71">
        <f ca="1">SUMIFS(Grille!N:N,Grille!A:A,Grille_HT5!A81,Grille!C:C,Grille_HT5!B81,Grille!G:G,"Majeur")</f>
        <v>0</v>
      </c>
      <c r="F81" s="72">
        <f t="shared" ca="1" si="13"/>
        <v>0</v>
      </c>
      <c r="G81" s="71">
        <f>SUMIFS(Grille!R:R,Grille!A:A,Grille_HT5!A81,Grille!C:C,Grille_HT5!B81,Grille!G:G,"Mineur")</f>
        <v>0</v>
      </c>
      <c r="H81" s="71">
        <f>SUMIFS(Grille!Q:Q,Grille!A:A,Grille_HT5!A81,Grille!C:C,Grille_HT5!B81,Grille!G:G,"Mineur")</f>
        <v>0</v>
      </c>
      <c r="I81" s="71">
        <f>SUMIFS(Grille!N:N,Grille!A:A,Grille_HT5!A81,Grille!C:C,Grille_HT5!B81,Grille!G:G,"Mineur")</f>
        <v>0</v>
      </c>
      <c r="J81" s="72" t="str">
        <f t="shared" si="14"/>
        <v>Non appliqué</v>
      </c>
      <c r="K81" s="71">
        <v>11</v>
      </c>
      <c r="L81" s="73">
        <f t="shared" ca="1" si="15"/>
        <v>0.12087912087912088</v>
      </c>
      <c r="M81" s="73" t="str">
        <f t="shared" si="16"/>
        <v>Non appliqué</v>
      </c>
      <c r="N81" s="73">
        <f ca="1">IF(ISNUMBER(F81),F81*L81,F81)</f>
        <v>0</v>
      </c>
      <c r="O81" s="73">
        <f t="shared" ca="1" si="17"/>
        <v>0</v>
      </c>
      <c r="P81" s="73" t="str">
        <f>IF(ISNUMBER(J81),J81*M81,J81)</f>
        <v>Non appliqué</v>
      </c>
      <c r="Q81" s="73">
        <f t="shared" ca="1" si="18"/>
        <v>0</v>
      </c>
      <c r="R81" s="77"/>
      <c r="S81" s="75"/>
      <c r="T81" s="75"/>
      <c r="U81" s="75"/>
      <c r="V81" s="76"/>
      <c r="W81" s="76"/>
      <c r="X81" s="76"/>
      <c r="Y81" s="134">
        <f t="shared" si="19"/>
        <v>63</v>
      </c>
    </row>
    <row r="82" spans="1:25" x14ac:dyDescent="0.3">
      <c r="A82" s="64" t="s">
        <v>757</v>
      </c>
      <c r="B82" s="64" t="s">
        <v>765</v>
      </c>
      <c r="C82" s="71">
        <f>SUMIFS(Grille!R:R,Grille!A:A,Grille_HT5!A82,Grille!C:C,Grille_HT5!B82,Grille!G:G,"Majeur")</f>
        <v>18</v>
      </c>
      <c r="D82" s="71">
        <f ca="1">SUMIFS(Grille!Q:Q,Grille!A:A,Grille_HT5!A82,Grille!C:C,Grille_HT5!B82,Grille!G:G,"Majeur")</f>
        <v>18</v>
      </c>
      <c r="E82" s="71">
        <f ca="1">SUMIFS(Grille!N:N,Grille!A:A,Grille_HT5!A82,Grille!C:C,Grille_HT5!B82,Grille!G:G,"Majeur")</f>
        <v>0</v>
      </c>
      <c r="F82" s="72">
        <f t="shared" ca="1" si="13"/>
        <v>0</v>
      </c>
      <c r="G82" s="71">
        <f>SUMIFS(Grille!R:R,Grille!A:A,Grille_HT5!A82,Grille!C:C,Grille_HT5!B82,Grille!G:G,"Mineur")</f>
        <v>11</v>
      </c>
      <c r="H82" s="71">
        <f ca="1">SUMIFS(Grille!Q:Q,Grille!A:A,Grille_HT5!A82,Grille!C:C,Grille_HT5!B82,Grille!G:G,"Mineur")</f>
        <v>11</v>
      </c>
      <c r="I82" s="71">
        <f ca="1">SUMIFS(Grille!N:N,Grille!A:A,Grille_HT5!A82,Grille!C:C,Grille_HT5!B82,Grille!G:G,"Mineur")</f>
        <v>0</v>
      </c>
      <c r="J82" s="72">
        <f t="shared" ca="1" si="14"/>
        <v>0</v>
      </c>
      <c r="K82" s="71">
        <v>10</v>
      </c>
      <c r="L82" s="73">
        <f t="shared" ca="1" si="15"/>
        <v>0.10989010989010989</v>
      </c>
      <c r="M82" s="73">
        <f t="shared" ca="1" si="16"/>
        <v>0.125</v>
      </c>
      <c r="N82" s="73">
        <f t="shared" ca="1" si="22"/>
        <v>0</v>
      </c>
      <c r="O82" s="73">
        <f t="shared" ca="1" si="17"/>
        <v>0</v>
      </c>
      <c r="P82" s="73">
        <f t="shared" ca="1" si="23"/>
        <v>0</v>
      </c>
      <c r="Q82" s="73">
        <f t="shared" ca="1" si="18"/>
        <v>0</v>
      </c>
      <c r="R82" s="77"/>
      <c r="S82" s="75"/>
      <c r="T82" s="75"/>
      <c r="U82" s="75"/>
      <c r="V82" s="76"/>
      <c r="W82" s="76"/>
      <c r="X82" s="76"/>
      <c r="Y82" s="134">
        <f t="shared" si="19"/>
        <v>64</v>
      </c>
    </row>
    <row r="83" spans="1:25" x14ac:dyDescent="0.3">
      <c r="A83" s="64" t="s">
        <v>757</v>
      </c>
      <c r="B83" s="64" t="s">
        <v>766</v>
      </c>
      <c r="C83" s="71">
        <f>SUMIFS(Grille!R:R,Grille!A:A,Grille_HT5!A83,Grille!C:C,Grille_HT5!B83,Grille!G:G,"Majeur")</f>
        <v>12</v>
      </c>
      <c r="D83" s="71">
        <f ca="1">SUMIFS(Grille!Q:Q,Grille!A:A,Grille_HT5!A83,Grille!C:C,Grille_HT5!B83,Grille!G:G,"Majeur")</f>
        <v>12</v>
      </c>
      <c r="E83" s="71">
        <f ca="1">SUMIFS(Grille!N:N,Grille!A:A,Grille_HT5!A83,Grille!C:C,Grille_HT5!B83,Grille!G:G,"Majeur")</f>
        <v>0</v>
      </c>
      <c r="F83" s="72">
        <f t="shared" ca="1" si="13"/>
        <v>0</v>
      </c>
      <c r="G83" s="71">
        <f>SUMIFS(Grille!R:R,Grille!A:A,Grille_HT5!A83,Grille!C:C,Grille_HT5!B83,Grille!G:G,"Mineur")</f>
        <v>5</v>
      </c>
      <c r="H83" s="71">
        <f ca="1">SUMIFS(Grille!Q:Q,Grille!A:A,Grille_HT5!A83,Grille!C:C,Grille_HT5!B83,Grille!G:G,"Mineur")</f>
        <v>5</v>
      </c>
      <c r="I83" s="71">
        <f ca="1">SUMIFS(Grille!N:N,Grille!A:A,Grille_HT5!A83,Grille!C:C,Grille_HT5!B83,Grille!G:G,"Mineur")</f>
        <v>0</v>
      </c>
      <c r="J83" s="72">
        <f t="shared" ca="1" si="14"/>
        <v>0</v>
      </c>
      <c r="K83" s="71">
        <v>20</v>
      </c>
      <c r="L83" s="73">
        <f t="shared" ca="1" si="15"/>
        <v>0.21978021978021978</v>
      </c>
      <c r="M83" s="73">
        <f t="shared" ca="1" si="16"/>
        <v>0.25</v>
      </c>
      <c r="N83" s="73">
        <f t="shared" ca="1" si="22"/>
        <v>0</v>
      </c>
      <c r="O83" s="73">
        <f t="shared" ca="1" si="17"/>
        <v>0</v>
      </c>
      <c r="P83" s="73">
        <f t="shared" ca="1" si="23"/>
        <v>0</v>
      </c>
      <c r="Q83" s="73">
        <f t="shared" ca="1" si="18"/>
        <v>0</v>
      </c>
      <c r="R83" s="77"/>
      <c r="S83" s="75"/>
      <c r="T83" s="75"/>
      <c r="U83" s="75"/>
      <c r="V83" s="76"/>
      <c r="W83" s="76"/>
      <c r="X83" s="76"/>
      <c r="Y83" s="134">
        <f t="shared" si="19"/>
        <v>65</v>
      </c>
    </row>
    <row r="84" spans="1:25" x14ac:dyDescent="0.3">
      <c r="A84" s="4"/>
      <c r="B84" s="4" t="str">
        <f>A85</f>
        <v>Personnel</v>
      </c>
      <c r="C84" s="5"/>
      <c r="D84" s="5"/>
      <c r="E84" s="5"/>
      <c r="F84" s="5"/>
      <c r="G84" s="9"/>
      <c r="H84" s="9"/>
      <c r="I84" s="9"/>
      <c r="J84" s="6"/>
      <c r="K84" s="5"/>
      <c r="L84" s="5"/>
      <c r="M84" s="5"/>
      <c r="N84" s="6"/>
      <c r="O84" s="6"/>
      <c r="P84" s="6"/>
      <c r="Q84" s="6"/>
      <c r="R84" s="70">
        <v>2.5</v>
      </c>
      <c r="S84" s="7">
        <f t="shared" ca="1" si="20"/>
        <v>2.5000000000000001E-2</v>
      </c>
      <c r="T84" s="7">
        <f ca="1">IFERROR(S84/SUM(S:S),S84)</f>
        <v>2.9411764705882356E-2</v>
      </c>
      <c r="U84" s="7">
        <f ca="1">IFERROR(T84*O85,T84)</f>
        <v>0</v>
      </c>
      <c r="V84" s="7">
        <f t="shared" ca="1" si="21"/>
        <v>2.5000000000000001E-2</v>
      </c>
      <c r="W84" s="7">
        <f ca="1">IFERROR(V84/SUM(V:V),V84)</f>
        <v>2.5252525252525256E-2</v>
      </c>
      <c r="X84" s="7">
        <f ca="1">IFERROR(W84*Q85,W84)</f>
        <v>0</v>
      </c>
      <c r="Y84" s="134"/>
    </row>
    <row r="85" spans="1:25" x14ac:dyDescent="0.3">
      <c r="A85" s="64" t="s">
        <v>767</v>
      </c>
      <c r="B85" s="64" t="s">
        <v>768</v>
      </c>
      <c r="C85" s="71">
        <f>SUMIFS(Grille!R:R,Grille!A:A,Grille_HT5!A85,Grille!C:C,Grille_HT5!B85,Grille!G:G,"Majeur")</f>
        <v>46</v>
      </c>
      <c r="D85" s="71">
        <f ca="1">SUMIFS(Grille!Q:Q,Grille!A:A,Grille_HT5!A85,Grille!C:C,Grille_HT5!B85,Grille!G:G,"Majeur")</f>
        <v>46</v>
      </c>
      <c r="E85" s="71">
        <f ca="1">SUMIFS(Grille!N:N,Grille!A:A,Grille_HT5!A85,Grille!C:C,Grille_HT5!B85,Grille!G:G,"Majeur")</f>
        <v>0</v>
      </c>
      <c r="F85" s="72">
        <f t="shared" ca="1" si="13"/>
        <v>0</v>
      </c>
      <c r="G85" s="71">
        <f>SUMIFS(Grille!R:R,Grille!A:A,Grille_HT5!A85,Grille!C:C,Grille_HT5!B85,Grille!G:G,"Mineur")</f>
        <v>4</v>
      </c>
      <c r="H85" s="71">
        <f ca="1">SUMIFS(Grille!Q:Q,Grille!A:A,Grille_HT5!A85,Grille!C:C,Grille_HT5!B85,Grille!G:G,"Mineur")</f>
        <v>4</v>
      </c>
      <c r="I85" s="71">
        <f ca="1">SUMIFS(Grille!N:N,Grille!A:A,Grille_HT5!A85,Grille!C:C,Grille_HT5!B85,Grille!G:G,"Mineur")</f>
        <v>0</v>
      </c>
      <c r="J85" s="72">
        <f t="shared" ca="1" si="14"/>
        <v>0</v>
      </c>
      <c r="K85" s="71">
        <v>60</v>
      </c>
      <c r="L85" s="73">
        <f t="shared" ca="1" si="15"/>
        <v>0.66666666666666663</v>
      </c>
      <c r="M85" s="73">
        <f t="shared" ca="1" si="16"/>
        <v>0.8571428571428571</v>
      </c>
      <c r="N85" s="73">
        <f ca="1">IF(ISNUMBER(F85),F85*L85,F85)</f>
        <v>0</v>
      </c>
      <c r="O85" s="73">
        <f t="shared" ca="1" si="17"/>
        <v>0</v>
      </c>
      <c r="P85" s="73">
        <f ca="1">IF(ISNUMBER(J85),J85*M85,J85)</f>
        <v>0</v>
      </c>
      <c r="Q85" s="73">
        <f t="shared" ca="1" si="18"/>
        <v>0</v>
      </c>
      <c r="R85" s="77"/>
      <c r="S85" s="75"/>
      <c r="T85" s="75"/>
      <c r="U85" s="75"/>
      <c r="V85" s="76"/>
      <c r="W85" s="76"/>
      <c r="X85" s="76"/>
      <c r="Y85" s="134">
        <f>Y83+1</f>
        <v>66</v>
      </c>
    </row>
    <row r="86" spans="1:25" x14ac:dyDescent="0.3">
      <c r="A86" s="64" t="s">
        <v>767</v>
      </c>
      <c r="B86" s="64" t="s">
        <v>770</v>
      </c>
      <c r="C86" s="71">
        <f>SUMIFS(Grille!R:R,Grille!A:A,Grille_HT5!A86,Grille!C:C,Grille_HT5!B86,Grille!G:G,"Majeur")</f>
        <v>20</v>
      </c>
      <c r="D86" s="71">
        <f ca="1">SUMIFS(Grille!Q:Q,Grille!A:A,Grille_HT5!A86,Grille!C:C,Grille_HT5!B86,Grille!G:G,"Majeur")</f>
        <v>20</v>
      </c>
      <c r="E86" s="71">
        <f ca="1">SUMIFS(Grille!N:N,Grille!A:A,Grille_HT5!A86,Grille!C:C,Grille_HT5!B86,Grille!G:G,"Majeur")</f>
        <v>0</v>
      </c>
      <c r="F86" s="72">
        <f t="shared" ca="1" si="13"/>
        <v>0</v>
      </c>
      <c r="G86" s="71">
        <f>SUMIFS(Grille!R:R,Grille!A:A,Grille_HT5!A86,Grille!C:C,Grille_HT5!B86,Grille!G:G,"Mineur")</f>
        <v>0</v>
      </c>
      <c r="H86" s="71">
        <f>SUMIFS(Grille!Q:Q,Grille!A:A,Grille_HT5!A86,Grille!C:C,Grille_HT5!B86,Grille!G:G,"Mineur")</f>
        <v>0</v>
      </c>
      <c r="I86" s="71">
        <f>SUMIFS(Grille!N:N,Grille!A:A,Grille_HT5!A86,Grille!C:C,Grille_HT5!B86,Grille!G:G,"Mineur")</f>
        <v>0</v>
      </c>
      <c r="J86" s="72" t="str">
        <f t="shared" si="14"/>
        <v>Non appliqué</v>
      </c>
      <c r="K86" s="71">
        <v>30</v>
      </c>
      <c r="L86" s="73">
        <f t="shared" ca="1" si="15"/>
        <v>0.33333333333333331</v>
      </c>
      <c r="M86" s="73" t="str">
        <f t="shared" si="16"/>
        <v>Non appliqué</v>
      </c>
      <c r="N86" s="73">
        <f ca="1">IF(ISNUMBER(F86),F86*L86,F86)</f>
        <v>0</v>
      </c>
      <c r="O86" s="73">
        <f t="shared" ca="1" si="17"/>
        <v>0</v>
      </c>
      <c r="P86" s="73" t="str">
        <f>IF(ISNUMBER(J86),J86*M86,J86)</f>
        <v>Non appliqué</v>
      </c>
      <c r="Q86" s="73">
        <f t="shared" ca="1" si="18"/>
        <v>0</v>
      </c>
      <c r="R86" s="77"/>
      <c r="S86" s="75"/>
      <c r="T86" s="75"/>
      <c r="U86" s="75"/>
      <c r="V86" s="76"/>
      <c r="W86" s="76"/>
      <c r="X86" s="76"/>
      <c r="Y86" s="134">
        <f t="shared" si="19"/>
        <v>67</v>
      </c>
    </row>
    <row r="87" spans="1:25" ht="25.2" x14ac:dyDescent="0.3">
      <c r="A87" s="64" t="s">
        <v>767</v>
      </c>
      <c r="B87" s="64" t="s">
        <v>772</v>
      </c>
      <c r="C87" s="71">
        <f>SUMIFS(Grille!R:R,Grille!A:A,Grille_HT5!A87,Grille!C:C,Grille_HT5!B87,Grille!G:G,"Majeur")</f>
        <v>0</v>
      </c>
      <c r="D87" s="71">
        <f>SUMIFS(Grille!Q:Q,Grille!A:A,Grille_HT5!A87,Grille!C:C,Grille_HT5!B87,Grille!G:G,"Majeur")</f>
        <v>0</v>
      </c>
      <c r="E87" s="71">
        <f>SUMIFS(Grille!N:N,Grille!A:A,Grille_HT5!A87,Grille!C:C,Grille_HT5!B87,Grille!G:G,"Majeur")</f>
        <v>0</v>
      </c>
      <c r="F87" s="72" t="str">
        <f t="shared" si="13"/>
        <v>Non appliqué</v>
      </c>
      <c r="G87" s="71">
        <f>SUMIFS(Grille!R:R,Grille!A:A,Grille_HT5!A87,Grille!C:C,Grille_HT5!B87,Grille!G:G,"Mineur")</f>
        <v>3</v>
      </c>
      <c r="H87" s="71">
        <f ca="1">SUMIFS(Grille!Q:Q,Grille!A:A,Grille_HT5!A87,Grille!C:C,Grille_HT5!B87,Grille!G:G,"Mineur")</f>
        <v>3</v>
      </c>
      <c r="I87" s="71">
        <f ca="1">SUMIFS(Grille!N:N,Grille!A:A,Grille_HT5!A87,Grille!C:C,Grille_HT5!B87,Grille!G:G,"Mineur")</f>
        <v>0</v>
      </c>
      <c r="J87" s="72">
        <f t="shared" ca="1" si="14"/>
        <v>0</v>
      </c>
      <c r="K87" s="71">
        <v>10</v>
      </c>
      <c r="L87" s="73" t="str">
        <f t="shared" si="15"/>
        <v>Non appliqué</v>
      </c>
      <c r="M87" s="73">
        <f t="shared" ca="1" si="16"/>
        <v>0.14285714285714285</v>
      </c>
      <c r="N87" s="73" t="str">
        <f>IF(ISNUMBER(F87),F87*L87,F87)</f>
        <v>Non appliqué</v>
      </c>
      <c r="O87" s="73">
        <f t="shared" ca="1" si="17"/>
        <v>0</v>
      </c>
      <c r="P87" s="73">
        <f ca="1">IF(ISNUMBER(J87),J87*M87,J87)</f>
        <v>0</v>
      </c>
      <c r="Q87" s="73">
        <f t="shared" ca="1" si="18"/>
        <v>0</v>
      </c>
      <c r="R87" s="77"/>
      <c r="S87" s="75"/>
      <c r="T87" s="75"/>
      <c r="U87" s="75"/>
      <c r="V87" s="76"/>
      <c r="W87" s="76"/>
      <c r="X87" s="76"/>
      <c r="Y87" s="134">
        <f t="shared" si="19"/>
        <v>68</v>
      </c>
    </row>
    <row r="88" spans="1:25" ht="25.2" x14ac:dyDescent="0.3">
      <c r="A88" s="4"/>
      <c r="B88" s="4" t="str">
        <f>A89</f>
        <v>Electricité, eau et assainissement</v>
      </c>
      <c r="C88" s="5"/>
      <c r="D88" s="5"/>
      <c r="E88" s="5"/>
      <c r="F88" s="5"/>
      <c r="G88" s="9"/>
      <c r="H88" s="9"/>
      <c r="I88" s="9"/>
      <c r="J88" s="6"/>
      <c r="K88" s="5"/>
      <c r="L88" s="5"/>
      <c r="M88" s="5"/>
      <c r="N88" s="6"/>
      <c r="O88" s="6"/>
      <c r="P88" s="6"/>
      <c r="Q88" s="6"/>
      <c r="R88" s="70">
        <v>2.5</v>
      </c>
      <c r="S88" s="7">
        <f t="shared" ca="1" si="20"/>
        <v>2.5000000000000001E-2</v>
      </c>
      <c r="T88" s="7">
        <f ca="1">IFERROR(S88/SUM(S:S),S88)</f>
        <v>2.9411764705882356E-2</v>
      </c>
      <c r="U88" s="7">
        <f ca="1">IFERROR(T88*O89,T88)</f>
        <v>0</v>
      </c>
      <c r="V88" s="7">
        <f t="shared" ca="1" si="21"/>
        <v>2.5000000000000001E-2</v>
      </c>
      <c r="W88" s="7">
        <f ca="1">IFERROR(V88/SUM(V:V),V88)</f>
        <v>2.5252525252525256E-2</v>
      </c>
      <c r="X88" s="7">
        <f ca="1">IFERROR(W88*Q89,W88)</f>
        <v>0</v>
      </c>
      <c r="Y88" s="134"/>
    </row>
    <row r="89" spans="1:25" ht="25.2" x14ac:dyDescent="0.3">
      <c r="A89" s="64" t="s">
        <v>773</v>
      </c>
      <c r="B89" s="64" t="s">
        <v>775</v>
      </c>
      <c r="C89" s="71">
        <f>SUMIFS(Grille!R:R,Grille!A:A,Grille_HT5!A89,Grille!C:C,Grille_HT5!B89,Grille!G:G,"Majeur")</f>
        <v>8</v>
      </c>
      <c r="D89" s="71">
        <f ca="1">SUMIFS(Grille!Q:Q,Grille!A:A,Grille_HT5!A89,Grille!C:C,Grille_HT5!B89,Grille!G:G,"Majeur")</f>
        <v>8</v>
      </c>
      <c r="E89" s="71">
        <f ca="1">SUMIFS(Grille!N:N,Grille!A:A,Grille_HT5!A89,Grille!C:C,Grille_HT5!B89,Grille!G:G,"Majeur")</f>
        <v>0</v>
      </c>
      <c r="F89" s="72">
        <f t="shared" ca="1" si="13"/>
        <v>0</v>
      </c>
      <c r="G89" s="71">
        <f>SUMIFS(Grille!R:R,Grille!A:A,Grille_HT5!A89,Grille!C:C,Grille_HT5!B89,Grille!G:G,"Mineur")</f>
        <v>1</v>
      </c>
      <c r="H89" s="71">
        <f ca="1">SUMIFS(Grille!Q:Q,Grille!A:A,Grille_HT5!A89,Grille!C:C,Grille_HT5!B89,Grille!G:G,"Mineur")</f>
        <v>1</v>
      </c>
      <c r="I89" s="71">
        <f ca="1">SUMIFS(Grille!N:N,Grille!A:A,Grille_HT5!A89,Grille!C:C,Grille_HT5!B89,Grille!G:G,"Mineur")</f>
        <v>0</v>
      </c>
      <c r="J89" s="72">
        <f t="shared" ca="1" si="14"/>
        <v>0</v>
      </c>
      <c r="K89" s="71">
        <v>30</v>
      </c>
      <c r="L89" s="73">
        <f t="shared" ca="1" si="15"/>
        <v>0.3</v>
      </c>
      <c r="M89" s="73">
        <f t="shared" ca="1" si="16"/>
        <v>0.3</v>
      </c>
      <c r="N89" s="73">
        <f ca="1">IF(ISNUMBER(F89),F89*L89,F89)</f>
        <v>0</v>
      </c>
      <c r="O89" s="73">
        <f t="shared" ca="1" si="17"/>
        <v>0</v>
      </c>
      <c r="P89" s="73">
        <f ca="1">IF(ISNUMBER(J89),J89*M89,J89)</f>
        <v>0</v>
      </c>
      <c r="Q89" s="73">
        <f t="shared" ca="1" si="18"/>
        <v>0</v>
      </c>
      <c r="R89" s="77"/>
      <c r="S89" s="75"/>
      <c r="T89" s="75"/>
      <c r="U89" s="75"/>
      <c r="V89" s="76"/>
      <c r="W89" s="76"/>
      <c r="X89" s="76"/>
      <c r="Y89" s="134">
        <f>Y87+1</f>
        <v>69</v>
      </c>
    </row>
    <row r="90" spans="1:25" ht="25.2" x14ac:dyDescent="0.3">
      <c r="A90" s="64" t="s">
        <v>773</v>
      </c>
      <c r="B90" s="64" t="s">
        <v>776</v>
      </c>
      <c r="C90" s="71">
        <f>SUMIFS(Grille!R:R,Grille!A:A,Grille_HT5!A90,Grille!C:C,Grille_HT5!B90,Grille!G:G,"Majeur")</f>
        <v>8</v>
      </c>
      <c r="D90" s="71">
        <f ca="1">SUMIFS(Grille!Q:Q,Grille!A:A,Grille_HT5!A90,Grille!C:C,Grille_HT5!B90,Grille!G:G,"Majeur")</f>
        <v>8</v>
      </c>
      <c r="E90" s="71">
        <f ca="1">SUMIFS(Grille!N:N,Grille!A:A,Grille_HT5!A90,Grille!C:C,Grille_HT5!B90,Grille!G:G,"Majeur")</f>
        <v>0</v>
      </c>
      <c r="F90" s="72">
        <f t="shared" ca="1" si="13"/>
        <v>0</v>
      </c>
      <c r="G90" s="71">
        <f>SUMIFS(Grille!R:R,Grille!A:A,Grille_HT5!A90,Grille!C:C,Grille_HT5!B90,Grille!G:G,"Mineur")</f>
        <v>2</v>
      </c>
      <c r="H90" s="71">
        <f ca="1">SUMIFS(Grille!Q:Q,Grille!A:A,Grille_HT5!A90,Grille!C:C,Grille_HT5!B90,Grille!G:G,"Mineur")</f>
        <v>2</v>
      </c>
      <c r="I90" s="71">
        <f ca="1">SUMIFS(Grille!N:N,Grille!A:A,Grille_HT5!A90,Grille!C:C,Grille_HT5!B90,Grille!G:G,"Mineur")</f>
        <v>0</v>
      </c>
      <c r="J90" s="72">
        <f t="shared" ca="1" si="14"/>
        <v>0</v>
      </c>
      <c r="K90" s="71">
        <v>30</v>
      </c>
      <c r="L90" s="73">
        <f t="shared" ca="1" si="15"/>
        <v>0.3</v>
      </c>
      <c r="M90" s="73">
        <f t="shared" ca="1" si="16"/>
        <v>0.3</v>
      </c>
      <c r="N90" s="73">
        <f ca="1">IF(ISNUMBER(F90),F90*L90,F90)</f>
        <v>0</v>
      </c>
      <c r="O90" s="73">
        <f t="shared" ca="1" si="17"/>
        <v>0</v>
      </c>
      <c r="P90" s="73">
        <f ca="1">IF(ISNUMBER(J90),J90*M90,J90)</f>
        <v>0</v>
      </c>
      <c r="Q90" s="73">
        <f t="shared" ca="1" si="18"/>
        <v>0</v>
      </c>
      <c r="R90" s="77"/>
      <c r="S90" s="75"/>
      <c r="T90" s="75"/>
      <c r="U90" s="75"/>
      <c r="V90" s="76"/>
      <c r="W90" s="76"/>
      <c r="X90" s="76"/>
      <c r="Y90" s="134">
        <f t="shared" si="19"/>
        <v>70</v>
      </c>
    </row>
    <row r="91" spans="1:25" ht="25.2" x14ac:dyDescent="0.3">
      <c r="A91" s="64" t="s">
        <v>773</v>
      </c>
      <c r="B91" s="64" t="s">
        <v>777</v>
      </c>
      <c r="C91" s="71">
        <f>SUMIFS(Grille!R:R,Grille!A:A,Grille_HT5!A91,Grille!C:C,Grille_HT5!B91,Grille!G:G,"Majeur")</f>
        <v>6</v>
      </c>
      <c r="D91" s="71">
        <f ca="1">SUMIFS(Grille!Q:Q,Grille!A:A,Grille_HT5!A91,Grille!C:C,Grille_HT5!B91,Grille!G:G,"Majeur")</f>
        <v>6</v>
      </c>
      <c r="E91" s="71">
        <f ca="1">SUMIFS(Grille!N:N,Grille!A:A,Grille_HT5!A91,Grille!C:C,Grille_HT5!B91,Grille!G:G,"Majeur")</f>
        <v>0</v>
      </c>
      <c r="F91" s="72">
        <f t="shared" ca="1" si="13"/>
        <v>0</v>
      </c>
      <c r="G91" s="71">
        <f>SUMIFS(Grille!R:R,Grille!A:A,Grille_HT5!A91,Grille!C:C,Grille_HT5!B91,Grille!G:G,"Mineur")</f>
        <v>1</v>
      </c>
      <c r="H91" s="71">
        <f ca="1">SUMIFS(Grille!Q:Q,Grille!A:A,Grille_HT5!A91,Grille!C:C,Grille_HT5!B91,Grille!G:G,"Mineur")</f>
        <v>1</v>
      </c>
      <c r="I91" s="71">
        <f ca="1">SUMIFS(Grille!N:N,Grille!A:A,Grille_HT5!A91,Grille!C:C,Grille_HT5!B91,Grille!G:G,"Mineur")</f>
        <v>0</v>
      </c>
      <c r="J91" s="72">
        <f t="shared" ca="1" si="14"/>
        <v>0</v>
      </c>
      <c r="K91" s="71">
        <v>40</v>
      </c>
      <c r="L91" s="73">
        <f t="shared" ca="1" si="15"/>
        <v>0.4</v>
      </c>
      <c r="M91" s="73">
        <f t="shared" ca="1" si="16"/>
        <v>0.4</v>
      </c>
      <c r="N91" s="73">
        <f ca="1">IF(ISNUMBER(F91),F91*L91,F91)</f>
        <v>0</v>
      </c>
      <c r="O91" s="73">
        <f t="shared" ca="1" si="17"/>
        <v>0</v>
      </c>
      <c r="P91" s="73">
        <f ca="1">IF(ISNUMBER(J91),J91*M91,J91)</f>
        <v>0</v>
      </c>
      <c r="Q91" s="73">
        <f t="shared" ca="1" si="18"/>
        <v>0</v>
      </c>
      <c r="R91" s="77"/>
      <c r="S91" s="75"/>
      <c r="T91" s="75"/>
      <c r="U91" s="75"/>
      <c r="V91" s="76"/>
      <c r="W91" s="76"/>
      <c r="X91" s="76"/>
      <c r="Y91" s="134">
        <f t="shared" si="19"/>
        <v>71</v>
      </c>
    </row>
    <row r="156" spans="1:1" x14ac:dyDescent="0.3">
      <c r="A156" s="8" t="s">
        <v>654</v>
      </c>
    </row>
    <row r="157" spans="1:1" x14ac:dyDescent="0.3">
      <c r="A157" s="8" t="s">
        <v>657</v>
      </c>
    </row>
    <row r="158" spans="1:1" x14ac:dyDescent="0.3">
      <c r="A158" s="8" t="s">
        <v>658</v>
      </c>
    </row>
    <row r="159" spans="1:1" x14ac:dyDescent="0.3">
      <c r="A159" s="8" t="s">
        <v>661</v>
      </c>
    </row>
    <row r="160" spans="1:1" x14ac:dyDescent="0.3">
      <c r="A160" s="8" t="s">
        <v>662</v>
      </c>
    </row>
    <row r="161" spans="1:1" x14ac:dyDescent="0.3">
      <c r="A161" s="8" t="s">
        <v>664</v>
      </c>
    </row>
    <row r="162" spans="1:1" x14ac:dyDescent="0.3">
      <c r="A162" s="8" t="s">
        <v>667</v>
      </c>
    </row>
    <row r="163" spans="1:1" x14ac:dyDescent="0.3">
      <c r="A163" s="8" t="s">
        <v>668</v>
      </c>
    </row>
    <row r="164" spans="1:1" x14ac:dyDescent="0.3">
      <c r="A164" s="8" t="s">
        <v>671</v>
      </c>
    </row>
    <row r="165" spans="1:1" x14ac:dyDescent="0.3">
      <c r="A165" s="8" t="s">
        <v>673</v>
      </c>
    </row>
    <row r="166" spans="1:1" x14ac:dyDescent="0.3">
      <c r="A166" s="8" t="s">
        <v>675</v>
      </c>
    </row>
    <row r="167" spans="1:1" x14ac:dyDescent="0.3">
      <c r="A167" s="8" t="s">
        <v>677</v>
      </c>
    </row>
    <row r="168" spans="1:1" x14ac:dyDescent="0.3">
      <c r="A168" s="8" t="s">
        <v>678</v>
      </c>
    </row>
    <row r="169" spans="1:1" x14ac:dyDescent="0.3">
      <c r="A169" s="8" t="s">
        <v>682</v>
      </c>
    </row>
    <row r="170" spans="1:1" x14ac:dyDescent="0.3">
      <c r="A170" s="8" t="s">
        <v>685</v>
      </c>
    </row>
    <row r="171" spans="1:1" x14ac:dyDescent="0.3">
      <c r="A171" s="8" t="s">
        <v>701</v>
      </c>
    </row>
    <row r="172" spans="1:1" x14ac:dyDescent="0.3">
      <c r="A172" s="8" t="s">
        <v>702</v>
      </c>
    </row>
    <row r="173" spans="1:1" x14ac:dyDescent="0.3">
      <c r="A173" s="8" t="s">
        <v>703</v>
      </c>
    </row>
    <row r="174" spans="1:1" x14ac:dyDescent="0.3">
      <c r="A174" s="8" t="s">
        <v>706</v>
      </c>
    </row>
    <row r="175" spans="1:1" x14ac:dyDescent="0.3">
      <c r="A175" s="8" t="s">
        <v>707</v>
      </c>
    </row>
    <row r="176" spans="1:1" x14ac:dyDescent="0.3">
      <c r="A176" s="8" t="s">
        <v>709</v>
      </c>
    </row>
    <row r="177" spans="1:1" x14ac:dyDescent="0.3">
      <c r="A177" s="8" t="s">
        <v>710</v>
      </c>
    </row>
    <row r="178" spans="1:1" x14ac:dyDescent="0.3">
      <c r="A178" s="8" t="s">
        <v>712</v>
      </c>
    </row>
    <row r="179" spans="1:1" x14ac:dyDescent="0.3">
      <c r="A179" s="8" t="s">
        <v>715</v>
      </c>
    </row>
    <row r="180" spans="1:1" x14ac:dyDescent="0.3">
      <c r="A180" s="8" t="s">
        <v>717</v>
      </c>
    </row>
    <row r="181" spans="1:1" x14ac:dyDescent="0.3">
      <c r="A181" s="8" t="s">
        <v>718</v>
      </c>
    </row>
    <row r="182" spans="1:1" x14ac:dyDescent="0.3">
      <c r="A182" s="8" t="s">
        <v>720</v>
      </c>
    </row>
    <row r="183" spans="1:1" x14ac:dyDescent="0.3">
      <c r="A183" s="8" t="s">
        <v>722</v>
      </c>
    </row>
    <row r="184" spans="1:1" x14ac:dyDescent="0.3">
      <c r="A184" s="8" t="s">
        <v>724</v>
      </c>
    </row>
    <row r="185" spans="1:1" x14ac:dyDescent="0.3">
      <c r="A185" s="8" t="s">
        <v>725</v>
      </c>
    </row>
    <row r="186" spans="1:1" x14ac:dyDescent="0.3">
      <c r="A186" s="8" t="s">
        <v>729</v>
      </c>
    </row>
    <row r="187" spans="1:1" x14ac:dyDescent="0.3">
      <c r="A187" s="8" t="s">
        <v>733</v>
      </c>
    </row>
    <row r="188" spans="1:1" x14ac:dyDescent="0.3">
      <c r="A188" s="8" t="s">
        <v>734</v>
      </c>
    </row>
    <row r="189" spans="1:1" x14ac:dyDescent="0.3">
      <c r="A189" s="8" t="s">
        <v>735</v>
      </c>
    </row>
    <row r="190" spans="1:1" x14ac:dyDescent="0.3">
      <c r="A190" s="8" t="s">
        <v>736</v>
      </c>
    </row>
    <row r="191" spans="1:1" x14ac:dyDescent="0.3">
      <c r="A191" s="8" t="s">
        <v>737</v>
      </c>
    </row>
    <row r="192" spans="1:1" x14ac:dyDescent="0.3">
      <c r="A192" s="8" t="s">
        <v>738</v>
      </c>
    </row>
    <row r="193" spans="1:1" x14ac:dyDescent="0.3">
      <c r="A193" s="8" t="s">
        <v>742</v>
      </c>
    </row>
    <row r="194" spans="1:1" x14ac:dyDescent="0.3">
      <c r="A194" s="8" t="s">
        <v>743</v>
      </c>
    </row>
    <row r="195" spans="1:1" x14ac:dyDescent="0.3">
      <c r="A195" s="8" t="s">
        <v>746</v>
      </c>
    </row>
    <row r="196" spans="1:1" x14ac:dyDescent="0.3">
      <c r="A196" s="8" t="s">
        <v>747</v>
      </c>
    </row>
    <row r="197" spans="1:1" x14ac:dyDescent="0.3">
      <c r="A197" s="8" t="s">
        <v>748</v>
      </c>
    </row>
    <row r="198" spans="1:1" x14ac:dyDescent="0.3">
      <c r="A198" s="8" t="s">
        <v>751</v>
      </c>
    </row>
    <row r="199" spans="1:1" x14ac:dyDescent="0.3">
      <c r="A199" s="8" t="s">
        <v>752</v>
      </c>
    </row>
    <row r="200" spans="1:1" x14ac:dyDescent="0.3">
      <c r="A200" s="8" t="s">
        <v>753</v>
      </c>
    </row>
    <row r="201" spans="1:1" x14ac:dyDescent="0.3">
      <c r="A201" s="8" t="s">
        <v>755</v>
      </c>
    </row>
    <row r="202" spans="1:1" x14ac:dyDescent="0.3">
      <c r="A202" s="8" t="s">
        <v>756</v>
      </c>
    </row>
    <row r="203" spans="1:1" x14ac:dyDescent="0.3">
      <c r="A203" s="8" t="s">
        <v>759</v>
      </c>
    </row>
    <row r="204" spans="1:1" x14ac:dyDescent="0.3">
      <c r="A204" s="8" t="s">
        <v>761</v>
      </c>
    </row>
    <row r="205" spans="1:1" x14ac:dyDescent="0.3">
      <c r="A205" s="8" t="s">
        <v>762</v>
      </c>
    </row>
    <row r="206" spans="1:1" x14ac:dyDescent="0.3">
      <c r="A206" s="8" t="s">
        <v>763</v>
      </c>
    </row>
    <row r="207" spans="1:1" x14ac:dyDescent="0.3">
      <c r="A207" s="8" t="s">
        <v>765</v>
      </c>
    </row>
    <row r="208" spans="1:1" x14ac:dyDescent="0.3">
      <c r="A208" s="8" t="s">
        <v>766</v>
      </c>
    </row>
    <row r="209" spans="1:1" x14ac:dyDescent="0.3">
      <c r="A209" s="8" t="s">
        <v>768</v>
      </c>
    </row>
    <row r="210" spans="1:1" x14ac:dyDescent="0.3">
      <c r="A210" s="8" t="s">
        <v>770</v>
      </c>
    </row>
    <row r="211" spans="1:1" x14ac:dyDescent="0.3">
      <c r="A211" s="8" t="s">
        <v>772</v>
      </c>
    </row>
    <row r="212" spans="1:1" x14ac:dyDescent="0.3">
      <c r="A212" s="8" t="s">
        <v>775</v>
      </c>
    </row>
    <row r="213" spans="1:1" x14ac:dyDescent="0.3">
      <c r="A213" s="8" t="s">
        <v>776</v>
      </c>
    </row>
    <row r="214" spans="1:1" x14ac:dyDescent="0.3">
      <c r="A214" s="8" t="s">
        <v>777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5B84-589E-40C9-9763-E2F0D5B9EB3E}">
  <sheetPr codeName="Feuil39"/>
  <dimension ref="A1:Y214"/>
  <sheetViews>
    <sheetView showGridLines="0" topLeftCell="B28" zoomScale="75" zoomScaleNormal="40" workbookViewId="0">
      <selection activeCell="F5" sqref="F5"/>
    </sheetView>
  </sheetViews>
  <sheetFormatPr baseColWidth="10" defaultColWidth="11.6640625" defaultRowHeight="12.6" x14ac:dyDescent="0.3"/>
  <cols>
    <col min="1" max="2" width="31.109375" style="8" customWidth="1"/>
    <col min="3" max="3" width="14.77734375" style="10" customWidth="1"/>
    <col min="4" max="5" width="11.6640625" style="10" customWidth="1"/>
    <col min="6" max="6" width="14.109375" style="11" bestFit="1" customWidth="1"/>
    <col min="7" max="9" width="11.6640625" style="10" customWidth="1"/>
    <col min="10" max="10" width="14.109375" style="10" bestFit="1" customWidth="1"/>
    <col min="11" max="11" width="15.109375" style="10" customWidth="1"/>
    <col min="12" max="12" width="20" style="10" customWidth="1"/>
    <col min="13" max="13" width="14.109375" style="8" bestFit="1" customWidth="1"/>
    <col min="14" max="15" width="12.6640625" style="12" bestFit="1" customWidth="1"/>
    <col min="16" max="17" width="14.109375" style="12" bestFit="1" customWidth="1"/>
    <col min="18" max="18" width="11.109375" style="13" customWidth="1"/>
    <col min="19" max="21" width="14.77734375" style="14" bestFit="1" customWidth="1"/>
    <col min="22" max="23" width="14.77734375" style="78" bestFit="1" customWidth="1"/>
    <col min="24" max="24" width="12.77734375" style="78" bestFit="1" customWidth="1"/>
    <col min="25" max="25" width="11.6640625" style="134"/>
    <col min="26" max="16384" width="11.6640625" style="8"/>
  </cols>
  <sheetData>
    <row r="1" spans="1:25" s="69" customFormat="1" ht="50.4" x14ac:dyDescent="0.3">
      <c r="A1" s="64" t="s">
        <v>778</v>
      </c>
      <c r="B1" s="64" t="s">
        <v>779</v>
      </c>
      <c r="C1" s="65" t="s">
        <v>780</v>
      </c>
      <c r="D1" s="65" t="s">
        <v>781</v>
      </c>
      <c r="E1" s="65" t="s">
        <v>782</v>
      </c>
      <c r="F1" s="66" t="s">
        <v>783</v>
      </c>
      <c r="G1" s="65" t="s">
        <v>784</v>
      </c>
      <c r="H1" s="65" t="s">
        <v>785</v>
      </c>
      <c r="I1" s="65" t="s">
        <v>782</v>
      </c>
      <c r="J1" s="65" t="s">
        <v>786</v>
      </c>
      <c r="K1" s="65" t="s">
        <v>787</v>
      </c>
      <c r="L1" s="65" t="s">
        <v>788</v>
      </c>
      <c r="M1" s="65" t="s">
        <v>789</v>
      </c>
      <c r="N1" s="66" t="s">
        <v>790</v>
      </c>
      <c r="O1" s="66" t="s">
        <v>791</v>
      </c>
      <c r="P1" s="66" t="s">
        <v>792</v>
      </c>
      <c r="Q1" s="66" t="s">
        <v>793</v>
      </c>
      <c r="R1" s="67" t="s">
        <v>794</v>
      </c>
      <c r="S1" s="68" t="s">
        <v>795</v>
      </c>
      <c r="T1" s="68" t="s">
        <v>796</v>
      </c>
      <c r="U1" s="68" t="s">
        <v>797</v>
      </c>
      <c r="V1" s="68" t="s">
        <v>798</v>
      </c>
      <c r="W1" s="68" t="s">
        <v>799</v>
      </c>
      <c r="X1" s="68" t="s">
        <v>800</v>
      </c>
      <c r="Y1" s="135"/>
    </row>
    <row r="2" spans="1:25" s="69" customFormat="1" x14ac:dyDescent="0.3">
      <c r="A2" s="4"/>
      <c r="B2" s="4" t="s">
        <v>646</v>
      </c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6"/>
      <c r="O2" s="6"/>
      <c r="P2" s="6"/>
      <c r="Q2" s="6"/>
      <c r="R2" s="70">
        <v>1</v>
      </c>
      <c r="S2" s="7">
        <f ca="1">IF(SUMIF($A:$A,$A3,O:O)&gt;0,R2/SUM($R:$R),O3)</f>
        <v>0</v>
      </c>
      <c r="T2" s="7">
        <f ca="1">IFERROR(S2/SUM(S:S),S2)</f>
        <v>0</v>
      </c>
      <c r="U2" s="7">
        <f ca="1">IFERROR(O3*T2,O3)</f>
        <v>0</v>
      </c>
      <c r="V2" s="7">
        <f ca="1">IF(SUMIF($A:$A,$A3,Q:Q)&gt;0,R2/SUM(R:R),Q3)</f>
        <v>0</v>
      </c>
      <c r="W2" s="7">
        <f ca="1">IFERROR(V2/SUM(V:V),V2)</f>
        <v>0</v>
      </c>
      <c r="X2" s="7">
        <f ca="1">IFERROR(W2*Q3,W2)</f>
        <v>0</v>
      </c>
      <c r="Y2" s="135"/>
    </row>
    <row r="3" spans="1:25" x14ac:dyDescent="0.3">
      <c r="A3" s="64" t="s">
        <v>646</v>
      </c>
      <c r="B3" s="64" t="s">
        <v>648</v>
      </c>
      <c r="C3" s="71">
        <f>SUMIFS(Grille!R:R,Grille!A:A,Grille_HT4!A3,Grille!C:C,Grille_HT4!B3,Grille!H:H,"Majeur")</f>
        <v>6</v>
      </c>
      <c r="D3" s="71">
        <f ca="1">SUMIFS(Grille!Q:Q,Grille!A:A,Grille_HT4!A3,Grille!C:C,Grille_HT4!B3,Grille!H:H,"Majeur")</f>
        <v>6</v>
      </c>
      <c r="E3" s="71">
        <f ca="1">SUMIFS(Grille!N:N,Grille!A:A,Grille_HT4!A3,Grille!C:C,Grille_HT4!B3,Grille!H:H,"Majeur")</f>
        <v>0</v>
      </c>
      <c r="F3" s="72">
        <f ca="1">IF(C3=0,"Non appliqué",IF(D3=0,"Non concerné",E3/D3))</f>
        <v>0</v>
      </c>
      <c r="G3" s="71">
        <f>SUMIFS(Grille!R:R,Grille!A:A,Grille_HT4!A3,Grille!C:C,Grille_HT4!B3,Grille!H:H,"Mineur")</f>
        <v>3</v>
      </c>
      <c r="H3" s="71">
        <f ca="1">SUMIFS(Grille!Q:Q,Grille!A:A,Grille_HT4!A3,Grille!C:C,Grille_HT4!B3,Grille!H:H,"Mineur")</f>
        <v>3</v>
      </c>
      <c r="I3" s="71">
        <f ca="1">SUMIFS(Grille!N:N,Grille!A:A,Grille_HT4!A3,Grille!C:C,Grille_HT4!B3,Grille!H:H,"Mineur")</f>
        <v>0</v>
      </c>
      <c r="J3" s="72">
        <f ca="1">IF(G3=0,"Non appliqué",IF(H3=0,"Non concerné",I3/H3))</f>
        <v>0</v>
      </c>
      <c r="K3" s="71">
        <v>40</v>
      </c>
      <c r="L3" s="73">
        <f ca="1">IF(D3&gt;0,K3/SUMIFS(K:K,A:A,A3,D:D,"&gt;0"),F3)</f>
        <v>0.4</v>
      </c>
      <c r="M3" s="73">
        <f ca="1">IF(H3&gt;0,K3/SUMIFS(K:K,A:A,A3,H:H,"&gt;0"),J3)</f>
        <v>1</v>
      </c>
      <c r="N3" s="73">
        <f ca="1">IF(ISNUMBER(F3),F3*L3,F3)</f>
        <v>0</v>
      </c>
      <c r="O3" s="73">
        <f ca="1">IF(SUMIFS(C:C,A:A,A3)=0,"Non appliqué",IF(SUMIFS(D:D,A:A,A3)&gt;=0,SUMIFS(N:N,A:A,A3),"Non concerné"))</f>
        <v>0</v>
      </c>
      <c r="P3" s="73">
        <f ca="1">IF(ISNUMBER(J3),J3*M3,J3)</f>
        <v>0</v>
      </c>
      <c r="Q3" s="73">
        <f ca="1">IF(SUMIFS(G:G,A:A,A3)=0,"Non appliqué",IF(SUMIFS(H:H,A:A,A3)&gt;=0,SUMIFS(P:P,A:A,A3),"Non concerné"))</f>
        <v>0</v>
      </c>
      <c r="R3" s="74"/>
      <c r="S3" s="75"/>
      <c r="T3" s="75"/>
      <c r="U3" s="75"/>
      <c r="V3" s="76"/>
      <c r="W3" s="76"/>
      <c r="X3" s="76"/>
      <c r="Y3" s="134">
        <v>1</v>
      </c>
    </row>
    <row r="4" spans="1:25" x14ac:dyDescent="0.3">
      <c r="A4" s="64" t="s">
        <v>646</v>
      </c>
      <c r="B4" s="64" t="s">
        <v>652</v>
      </c>
      <c r="C4" s="71">
        <f>SUMIFS(Grille!R:R,Grille!A:A,Grille_HT4!A4,Grille!C:C,Grille_HT4!B4,Grille!H:H,"Majeur")</f>
        <v>5</v>
      </c>
      <c r="D4" s="71">
        <f ca="1">SUMIFS(Grille!Q:Q,Grille!A:A,Grille_HT4!A4,Grille!C:C,Grille_HT4!B4,Grille!H:H,"Majeur")</f>
        <v>5</v>
      </c>
      <c r="E4" s="71">
        <f ca="1">SUMIFS(Grille!N:N,Grille!A:A,Grille_HT4!A4,Grille!C:C,Grille_HT4!B4,Grille!H:H,"Majeur")</f>
        <v>0</v>
      </c>
      <c r="F4" s="72">
        <f t="shared" ref="F4:F67" ca="1" si="0">IF(C4=0,"Non appliqué",IF(D4=0,"Non concerné",E4/D4))</f>
        <v>0</v>
      </c>
      <c r="G4" s="71">
        <f>SUMIFS(Grille!R:R,Grille!A:A,Grille_HT4!A4,Grille!C:C,Grille_HT4!B4,Grille!H:H,"Mineur")</f>
        <v>0</v>
      </c>
      <c r="H4" s="71">
        <f>SUMIFS(Grille!Q:Q,Grille!A:A,Grille_HT4!A4,Grille!C:C,Grille_HT4!B4,Grille!H:H,"Mineur")</f>
        <v>0</v>
      </c>
      <c r="I4" s="71">
        <f>SUMIFS(Grille!N:N,Grille!A:A,Grille_HT4!A4,Grille!C:C,Grille_HT4!B4,Grille!H:H,"Mineur")</f>
        <v>0</v>
      </c>
      <c r="J4" s="72" t="str">
        <f t="shared" ref="J4:J67" si="1">IF(G4=0,"Non appliqué",IF(H4=0,"Non concerné",I4/H4))</f>
        <v>Non appliqué</v>
      </c>
      <c r="K4" s="71">
        <v>60</v>
      </c>
      <c r="L4" s="73">
        <f t="shared" ref="L4:L67" ca="1" si="2">IF(D4&gt;0,K4/SUMIFS(K:K,A:A,A4,D:D,"&gt;0"),F4)</f>
        <v>0.6</v>
      </c>
      <c r="M4" s="73" t="str">
        <f t="shared" ref="M4:M67" si="3">IF(H4&gt;0,K4/SUMIFS(K:K,A:A,A4,H:H,"&gt;0"),J4)</f>
        <v>Non appliqué</v>
      </c>
      <c r="N4" s="73">
        <f ca="1">IF(ISNUMBER(F4),F4*L4,F4)</f>
        <v>0</v>
      </c>
      <c r="O4" s="73">
        <f t="shared" ref="O4:O67" ca="1" si="4">IF(SUMIFS(C:C,A:A,A4)=0,"Non appliqué",IF(SUMIFS(D:D,A:A,A4)&gt;=0,SUMIFS(N:N,A:A,A4),"Non concerné"))</f>
        <v>0</v>
      </c>
      <c r="P4" s="73" t="str">
        <f>IF(ISNUMBER(J4),J4*M4,J4)</f>
        <v>Non appliqué</v>
      </c>
      <c r="Q4" s="73">
        <f t="shared" ref="Q4:Q67" ca="1" si="5">IF(SUMIFS(G:G,A:A,A4)=0,"Non appliqué",IF(SUMIFS(H:H,A:A,A4)&gt;=0,SUMIFS(P:P,A:A,A4),"Non concerné"))</f>
        <v>0</v>
      </c>
      <c r="R4" s="77"/>
      <c r="S4" s="75"/>
      <c r="T4" s="75"/>
      <c r="U4" s="75" t="str">
        <f>IF(O5&gt;0,T4*O5,"")</f>
        <v/>
      </c>
      <c r="V4" s="76"/>
      <c r="W4" s="76"/>
      <c r="X4" s="76"/>
      <c r="Y4" s="134">
        <f>Y3+1</f>
        <v>2</v>
      </c>
    </row>
    <row r="5" spans="1:25" s="69" customFormat="1" x14ac:dyDescent="0.3">
      <c r="A5" s="4"/>
      <c r="B5" s="4" t="s">
        <v>653</v>
      </c>
      <c r="C5" s="5"/>
      <c r="D5" s="5"/>
      <c r="E5" s="5"/>
      <c r="F5" s="5"/>
      <c r="G5" s="9"/>
      <c r="H5" s="9"/>
      <c r="I5" s="9"/>
      <c r="J5" s="6"/>
      <c r="K5" s="5"/>
      <c r="L5" s="5"/>
      <c r="M5" s="5"/>
      <c r="N5" s="6"/>
      <c r="O5" s="6"/>
      <c r="P5" s="6"/>
      <c r="Q5" s="6"/>
      <c r="R5" s="70">
        <v>4</v>
      </c>
      <c r="S5" s="7">
        <f t="shared" ref="S5:S63" ca="1" si="6">IF(SUMIF($A:$A,$A6,D:D)&gt;0,R5/SUM($R:$R),O6)</f>
        <v>0.04</v>
      </c>
      <c r="T5" s="7">
        <f ca="1">IFERROR(S5/SUM(S:S),S5)</f>
        <v>4.878048780487805E-2</v>
      </c>
      <c r="U5" s="7">
        <f ca="1">IFERROR(T5*O6,T5)</f>
        <v>0</v>
      </c>
      <c r="V5" s="7">
        <f t="shared" ref="V5:V63" ca="1" si="7">IF(SUMIF($A:$A,$A6,H:H)&gt;0,R5/SUM(R:R),Q6)</f>
        <v>0.04</v>
      </c>
      <c r="W5" s="7">
        <f ca="1">IFERROR(V5/SUM(V:V),V5)</f>
        <v>4.0404040404040407E-2</v>
      </c>
      <c r="X5" s="7">
        <f ca="1">IFERROR(W5*Q6,W5)</f>
        <v>0</v>
      </c>
      <c r="Y5" s="134"/>
    </row>
    <row r="6" spans="1:25" x14ac:dyDescent="0.3">
      <c r="A6" s="64" t="s">
        <v>653</v>
      </c>
      <c r="B6" s="64" t="s">
        <v>654</v>
      </c>
      <c r="C6" s="71">
        <f>SUMIFS(Grille!R:R,Grille!A:A,Grille_HT4!A6,Grille!C:C,Grille_HT4!B6,Grille!H:H,"Majeur")</f>
        <v>24</v>
      </c>
      <c r="D6" s="71">
        <f ca="1">SUMIFS(Grille!Q:Q,Grille!A:A,Grille_HT4!A6,Grille!C:C,Grille_HT4!B6,Grille!H:H,"Majeur")</f>
        <v>24</v>
      </c>
      <c r="E6" s="71">
        <f ca="1">SUMIFS(Grille!N:N,Grille!A:A,Grille_HT4!A6,Grille!C:C,Grille_HT4!B6,Grille!H:H,"Majeur")</f>
        <v>0</v>
      </c>
      <c r="F6" s="72">
        <f t="shared" ca="1" si="0"/>
        <v>0</v>
      </c>
      <c r="G6" s="71">
        <f>SUMIFS(Grille!R:R,Grille!A:A,Grille_HT4!A6,Grille!C:C,Grille_HT4!B6,Grille!H:H,"Mineur")</f>
        <v>12</v>
      </c>
      <c r="H6" s="71">
        <f ca="1">SUMIFS(Grille!Q:Q,Grille!A:A,Grille_HT4!A6,Grille!C:C,Grille_HT4!B6,Grille!H:H,"Mineur")</f>
        <v>12</v>
      </c>
      <c r="I6" s="71">
        <f ca="1">SUMIFS(Grille!N:N,Grille!A:A,Grille_HT4!A6,Grille!C:C,Grille_HT4!B6,Grille!H:H,"Mineur")</f>
        <v>0</v>
      </c>
      <c r="J6" s="72">
        <f t="shared" ca="1" si="1"/>
        <v>0</v>
      </c>
      <c r="K6" s="71">
        <v>40</v>
      </c>
      <c r="L6" s="73">
        <f t="shared" ca="1" si="2"/>
        <v>0.5</v>
      </c>
      <c r="M6" s="73">
        <f t="shared" ca="1" si="3"/>
        <v>0.66666666666666663</v>
      </c>
      <c r="N6" s="73">
        <f ca="1">IF(ISNUMBER(F6),F6*L6,F6)</f>
        <v>0</v>
      </c>
      <c r="O6" s="73">
        <f t="shared" ca="1" si="4"/>
        <v>0</v>
      </c>
      <c r="P6" s="73">
        <f ca="1">IF(ISNUMBER(J6),J6*M6,J6)</f>
        <v>0</v>
      </c>
      <c r="Q6" s="73">
        <f t="shared" ca="1" si="5"/>
        <v>0</v>
      </c>
      <c r="R6" s="77"/>
      <c r="S6" s="75"/>
      <c r="T6" s="75"/>
      <c r="U6" s="75"/>
      <c r="V6" s="76"/>
      <c r="W6" s="76"/>
      <c r="X6" s="76"/>
      <c r="Y6" s="134">
        <v>3</v>
      </c>
    </row>
    <row r="7" spans="1:25" x14ac:dyDescent="0.3">
      <c r="A7" s="64" t="s">
        <v>653</v>
      </c>
      <c r="B7" s="64" t="s">
        <v>657</v>
      </c>
      <c r="C7" s="71">
        <f>SUMIFS(Grille!R:R,Grille!A:A,Grille_HT4!A7,Grille!C:C,Grille_HT4!B7,Grille!H:H,"Majeur")</f>
        <v>0</v>
      </c>
      <c r="D7" s="71">
        <f>SUMIFS(Grille!Q:Q,Grille!A:A,Grille_HT4!A7,Grille!C:C,Grille_HT4!B7,Grille!H:H,"Majeur")</f>
        <v>0</v>
      </c>
      <c r="E7" s="71">
        <f>SUMIFS(Grille!N:N,Grille!A:A,Grille_HT4!A7,Grille!C:C,Grille_HT4!B7,Grille!H:H,"Majeur")</f>
        <v>0</v>
      </c>
      <c r="F7" s="72" t="str">
        <f t="shared" si="0"/>
        <v>Non appliqué</v>
      </c>
      <c r="G7" s="71">
        <f>SUMIFS(Grille!R:R,Grille!A:A,Grille_HT4!A7,Grille!C:C,Grille_HT4!B7,Grille!H:H,"Mineur")</f>
        <v>14</v>
      </c>
      <c r="H7" s="71">
        <f ca="1">SUMIFS(Grille!Q:Q,Grille!A:A,Grille_HT4!A7,Grille!C:C,Grille_HT4!B7,Grille!H:H,"Mineur")</f>
        <v>14</v>
      </c>
      <c r="I7" s="71">
        <f ca="1">SUMIFS(Grille!N:N,Grille!A:A,Grille_HT4!A7,Grille!C:C,Grille_HT4!B7,Grille!H:H,"Mineur")</f>
        <v>0</v>
      </c>
      <c r="J7" s="72">
        <f t="shared" ca="1" si="1"/>
        <v>0</v>
      </c>
      <c r="K7" s="71">
        <v>20</v>
      </c>
      <c r="L7" s="73" t="str">
        <f t="shared" si="2"/>
        <v>Non appliqué</v>
      </c>
      <c r="M7" s="73">
        <f t="shared" ca="1" si="3"/>
        <v>0.33333333333333331</v>
      </c>
      <c r="N7" s="73" t="str">
        <f>IF(ISNUMBER(F7),F7*L7,F7)</f>
        <v>Non appliqué</v>
      </c>
      <c r="O7" s="73">
        <f t="shared" ca="1" si="4"/>
        <v>0</v>
      </c>
      <c r="P7" s="73">
        <f ca="1">IF(ISNUMBER(J7),J7*M7,J7)</f>
        <v>0</v>
      </c>
      <c r="Q7" s="73">
        <f t="shared" ca="1" si="5"/>
        <v>0</v>
      </c>
      <c r="R7" s="77"/>
      <c r="S7" s="75"/>
      <c r="T7" s="75"/>
      <c r="U7" s="75"/>
      <c r="V7" s="76"/>
      <c r="W7" s="76"/>
      <c r="X7" s="76"/>
      <c r="Y7" s="134">
        <f t="shared" ref="Y7:Y70" si="8">Y6+1</f>
        <v>4</v>
      </c>
    </row>
    <row r="8" spans="1:25" x14ac:dyDescent="0.3">
      <c r="A8" s="64" t="s">
        <v>653</v>
      </c>
      <c r="B8" s="64" t="s">
        <v>658</v>
      </c>
      <c r="C8" s="71">
        <f>SUMIFS(Grille!R:R,Grille!A:A,Grille_HT4!A8,Grille!C:C,Grille_HT4!B8,Grille!H:H,"Majeur")</f>
        <v>15</v>
      </c>
      <c r="D8" s="71">
        <f ca="1">SUMIFS(Grille!Q:Q,Grille!A:A,Grille_HT4!A8,Grille!C:C,Grille_HT4!B8,Grille!H:H,"Majeur")</f>
        <v>15</v>
      </c>
      <c r="E8" s="71">
        <f ca="1">SUMIFS(Grille!N:N,Grille!A:A,Grille_HT4!A8,Grille!C:C,Grille_HT4!B8,Grille!H:H,"Majeur")</f>
        <v>0</v>
      </c>
      <c r="F8" s="72">
        <f t="shared" ca="1" si="0"/>
        <v>0</v>
      </c>
      <c r="G8" s="71">
        <f>SUMIFS(Grille!R:R,Grille!A:A,Grille_HT4!A8,Grille!C:C,Grille_HT4!B8,Grille!H:H,"Mineur")</f>
        <v>0</v>
      </c>
      <c r="H8" s="71">
        <f>SUMIFS(Grille!Q:Q,Grille!A:A,Grille_HT4!A8,Grille!C:C,Grille_HT4!B8,Grille!H:H,"Mineur")</f>
        <v>0</v>
      </c>
      <c r="I8" s="71">
        <f>SUMIFS(Grille!N:N,Grille!A:A,Grille_HT4!A8,Grille!C:C,Grille_HT4!B8,Grille!H:H,"Mineur")</f>
        <v>0</v>
      </c>
      <c r="J8" s="72" t="str">
        <f t="shared" si="1"/>
        <v>Non appliqué</v>
      </c>
      <c r="K8" s="71">
        <v>40</v>
      </c>
      <c r="L8" s="73">
        <f t="shared" ca="1" si="2"/>
        <v>0.5</v>
      </c>
      <c r="M8" s="73" t="str">
        <f t="shared" si="3"/>
        <v>Non appliqué</v>
      </c>
      <c r="N8" s="73">
        <f ca="1">IF(ISNUMBER(F8),F8*L8,F8)</f>
        <v>0</v>
      </c>
      <c r="O8" s="73">
        <f t="shared" ca="1" si="4"/>
        <v>0</v>
      </c>
      <c r="P8" s="73" t="str">
        <f>IF(ISNUMBER(J8),J8*M8,J8)</f>
        <v>Non appliqué</v>
      </c>
      <c r="Q8" s="73">
        <f t="shared" ca="1" si="5"/>
        <v>0</v>
      </c>
      <c r="R8" s="77"/>
      <c r="S8" s="75"/>
      <c r="T8" s="75"/>
      <c r="U8" s="75"/>
      <c r="V8" s="76"/>
      <c r="W8" s="76"/>
      <c r="X8" s="76"/>
      <c r="Y8" s="134">
        <f t="shared" si="8"/>
        <v>5</v>
      </c>
    </row>
    <row r="9" spans="1:25" x14ac:dyDescent="0.3">
      <c r="A9" s="4"/>
      <c r="B9" s="4" t="str">
        <f>A10</f>
        <v>Accueil et réception</v>
      </c>
      <c r="C9" s="5"/>
      <c r="D9" s="5"/>
      <c r="E9" s="5"/>
      <c r="F9" s="5"/>
      <c r="G9" s="9"/>
      <c r="H9" s="9"/>
      <c r="I9" s="9"/>
      <c r="J9" s="6"/>
      <c r="K9" s="5"/>
      <c r="L9" s="5"/>
      <c r="M9" s="5"/>
      <c r="N9" s="6"/>
      <c r="O9" s="6"/>
      <c r="P9" s="6"/>
      <c r="Q9" s="6"/>
      <c r="R9" s="70">
        <v>8</v>
      </c>
      <c r="S9" s="7">
        <f t="shared" ca="1" si="6"/>
        <v>0.08</v>
      </c>
      <c r="T9" s="7">
        <f ca="1">IFERROR(S9/SUM(S:S),S9)</f>
        <v>9.7560975609756101E-2</v>
      </c>
      <c r="U9" s="7">
        <f ca="1">IFERROR(T9*O10,T9)</f>
        <v>0</v>
      </c>
      <c r="V9" s="7">
        <f t="shared" ca="1" si="7"/>
        <v>0.08</v>
      </c>
      <c r="W9" s="7">
        <f ca="1">IFERROR(V9/SUM(V:V),V9)</f>
        <v>8.0808080808080815E-2</v>
      </c>
      <c r="X9" s="7">
        <f ca="1">IFERROR(W9*Q10,W9)</f>
        <v>0</v>
      </c>
    </row>
    <row r="10" spans="1:25" x14ac:dyDescent="0.3">
      <c r="A10" s="65" t="s">
        <v>659</v>
      </c>
      <c r="B10" s="65" t="s">
        <v>661</v>
      </c>
      <c r="C10" s="71">
        <f>SUMIFS(Grille!R:R,Grille!A:A,Grille_HT4!A10,Grille!C:C,Grille_HT4!B10,Grille!H:H,"Majeur")</f>
        <v>20</v>
      </c>
      <c r="D10" s="71">
        <f ca="1">SUMIFS(Grille!Q:Q,Grille!A:A,Grille_HT4!A10,Grille!C:C,Grille_HT4!B10,Grille!H:H,"Majeur")</f>
        <v>20</v>
      </c>
      <c r="E10" s="71">
        <f ca="1">SUMIFS(Grille!N:N,Grille!A:A,Grille_HT4!A10,Grille!C:C,Grille_HT4!B10,Grille!H:H,"Majeur")</f>
        <v>0</v>
      </c>
      <c r="F10" s="72">
        <f t="shared" ca="1" si="0"/>
        <v>0</v>
      </c>
      <c r="G10" s="71">
        <f>SUMIFS(Grille!R:R,Grille!A:A,Grille_HT4!A10,Grille!C:C,Grille_HT4!B10,Grille!H:H,"Mineur")</f>
        <v>20</v>
      </c>
      <c r="H10" s="71">
        <f ca="1">SUMIFS(Grille!Q:Q,Grille!A:A,Grille_HT4!A10,Grille!C:C,Grille_HT4!B10,Grille!H:H,"Mineur")</f>
        <v>20</v>
      </c>
      <c r="I10" s="71">
        <f ca="1">SUMIFS(Grille!N:N,Grille!A:A,Grille_HT4!A10,Grille!C:C,Grille_HT4!B10,Grille!H:H,"Mineur")</f>
        <v>0</v>
      </c>
      <c r="J10" s="72">
        <f t="shared" ca="1" si="1"/>
        <v>0</v>
      </c>
      <c r="K10" s="71">
        <v>10</v>
      </c>
      <c r="L10" s="73">
        <f t="shared" ca="1" si="2"/>
        <v>0.1</v>
      </c>
      <c r="M10" s="73">
        <f t="shared" ca="1" si="3"/>
        <v>0.1</v>
      </c>
      <c r="N10" s="73">
        <f ca="1">IF(ISNUMBER(F10),F10*L10,F10)</f>
        <v>0</v>
      </c>
      <c r="O10" s="73">
        <f t="shared" ca="1" si="4"/>
        <v>0</v>
      </c>
      <c r="P10" s="73">
        <f ca="1">IF(ISNUMBER(J10),J10*M10,J10)</f>
        <v>0</v>
      </c>
      <c r="Q10" s="73">
        <f t="shared" ca="1" si="5"/>
        <v>0</v>
      </c>
      <c r="R10" s="77"/>
      <c r="S10" s="75"/>
      <c r="T10" s="75"/>
      <c r="U10" s="75"/>
      <c r="V10" s="76"/>
      <c r="W10" s="76"/>
      <c r="X10" s="76"/>
      <c r="Y10" s="134">
        <v>6</v>
      </c>
    </row>
    <row r="11" spans="1:25" x14ac:dyDescent="0.3">
      <c r="A11" s="64" t="s">
        <v>659</v>
      </c>
      <c r="B11" s="65" t="s">
        <v>662</v>
      </c>
      <c r="C11" s="71">
        <f>SUMIFS(Grille!R:R,Grille!A:A,Grille_HT4!A11,Grille!C:C,Grille_HT4!B11,Grille!H:H,"Majeur")</f>
        <v>36</v>
      </c>
      <c r="D11" s="71">
        <f ca="1">SUMIFS(Grille!Q:Q,Grille!A:A,Grille_HT4!A11,Grille!C:C,Grille_HT4!B11,Grille!H:H,"Majeur")</f>
        <v>36</v>
      </c>
      <c r="E11" s="71">
        <f ca="1">SUMIFS(Grille!N:N,Grille!A:A,Grille_HT4!A11,Grille!C:C,Grille_HT4!B11,Grille!H:H,"Majeur")</f>
        <v>0</v>
      </c>
      <c r="F11" s="72">
        <f t="shared" ca="1" si="0"/>
        <v>0</v>
      </c>
      <c r="G11" s="71">
        <f>SUMIFS(Grille!R:R,Grille!A:A,Grille_HT4!A11,Grille!C:C,Grille_HT4!B11,Grille!H:H,"Mineur")</f>
        <v>3</v>
      </c>
      <c r="H11" s="71">
        <f ca="1">SUMIFS(Grille!Q:Q,Grille!A:A,Grille_HT4!A11,Grille!C:C,Grille_HT4!B11,Grille!H:H,"Mineur")</f>
        <v>3</v>
      </c>
      <c r="I11" s="71">
        <f ca="1">SUMIFS(Grille!N:N,Grille!A:A,Grille_HT4!A11,Grille!C:C,Grille_HT4!B11,Grille!H:H,"Mineur")</f>
        <v>0</v>
      </c>
      <c r="J11" s="72">
        <f t="shared" ca="1" si="1"/>
        <v>0</v>
      </c>
      <c r="K11" s="71">
        <v>40</v>
      </c>
      <c r="L11" s="73">
        <f t="shared" ca="1" si="2"/>
        <v>0.4</v>
      </c>
      <c r="M11" s="73">
        <f t="shared" ca="1" si="3"/>
        <v>0.4</v>
      </c>
      <c r="N11" s="73">
        <f ca="1">IF(ISNUMBER(F11),F11*L11,F11)</f>
        <v>0</v>
      </c>
      <c r="O11" s="73">
        <f t="shared" ca="1" si="4"/>
        <v>0</v>
      </c>
      <c r="P11" s="73">
        <f ca="1">IF(ISNUMBER(J11),J11*M11,J11)</f>
        <v>0</v>
      </c>
      <c r="Q11" s="73">
        <f t="shared" ca="1" si="5"/>
        <v>0</v>
      </c>
      <c r="R11" s="77"/>
      <c r="S11" s="75"/>
      <c r="T11" s="75"/>
      <c r="U11" s="75"/>
      <c r="V11" s="76"/>
      <c r="W11" s="76"/>
      <c r="X11" s="76"/>
      <c r="Y11" s="134">
        <f t="shared" si="8"/>
        <v>7</v>
      </c>
    </row>
    <row r="12" spans="1:25" x14ac:dyDescent="0.3">
      <c r="A12" s="64" t="s">
        <v>659</v>
      </c>
      <c r="B12" s="65" t="s">
        <v>664</v>
      </c>
      <c r="C12" s="71">
        <f>SUMIFS(Grille!R:R,Grille!A:A,Grille_HT4!A12,Grille!C:C,Grille_HT4!B12,Grille!H:H,"Majeur")</f>
        <v>41</v>
      </c>
      <c r="D12" s="71">
        <f ca="1">SUMIFS(Grille!Q:Q,Grille!A:A,Grille_HT4!A12,Grille!C:C,Grille_HT4!B12,Grille!H:H,"Majeur")</f>
        <v>41</v>
      </c>
      <c r="E12" s="71">
        <f ca="1">SUMIFS(Grille!N:N,Grille!A:A,Grille_HT4!A12,Grille!C:C,Grille_HT4!B12,Grille!H:H,"Majeur")</f>
        <v>0</v>
      </c>
      <c r="F12" s="72">
        <f t="shared" ca="1" si="0"/>
        <v>0</v>
      </c>
      <c r="G12" s="71">
        <f>SUMIFS(Grille!R:R,Grille!A:A,Grille_HT4!A12,Grille!C:C,Grille_HT4!B12,Grille!H:H,"Mineur")</f>
        <v>3</v>
      </c>
      <c r="H12" s="71">
        <f ca="1">SUMIFS(Grille!Q:Q,Grille!A:A,Grille_HT4!A12,Grille!C:C,Grille_HT4!B12,Grille!H:H,"Mineur")</f>
        <v>3</v>
      </c>
      <c r="I12" s="71">
        <f ca="1">SUMIFS(Grille!N:N,Grille!A:A,Grille_HT4!A12,Grille!C:C,Grille_HT4!B12,Grille!H:H,"Mineur")</f>
        <v>0</v>
      </c>
      <c r="J12" s="72">
        <f t="shared" ca="1" si="1"/>
        <v>0</v>
      </c>
      <c r="K12" s="71">
        <v>30</v>
      </c>
      <c r="L12" s="73">
        <f t="shared" ca="1" si="2"/>
        <v>0.3</v>
      </c>
      <c r="M12" s="73">
        <f t="shared" ca="1" si="3"/>
        <v>0.3</v>
      </c>
      <c r="N12" s="73">
        <f ca="1">IF(ISNUMBER(F12),F12*L12,F12)</f>
        <v>0</v>
      </c>
      <c r="O12" s="73">
        <f t="shared" ca="1" si="4"/>
        <v>0</v>
      </c>
      <c r="P12" s="73">
        <f ca="1">IF(ISNUMBER(J12),J12*M12,J12)</f>
        <v>0</v>
      </c>
      <c r="Q12" s="73">
        <f t="shared" ca="1" si="5"/>
        <v>0</v>
      </c>
      <c r="R12" s="77"/>
      <c r="S12" s="75"/>
      <c r="T12" s="75"/>
      <c r="U12" s="75"/>
      <c r="V12" s="76"/>
      <c r="W12" s="76"/>
      <c r="X12" s="76"/>
      <c r="Y12" s="134">
        <f t="shared" si="8"/>
        <v>8</v>
      </c>
    </row>
    <row r="13" spans="1:25" x14ac:dyDescent="0.3">
      <c r="A13" s="64" t="s">
        <v>659</v>
      </c>
      <c r="B13" s="65" t="s">
        <v>667</v>
      </c>
      <c r="C13" s="71">
        <f>SUMIFS(Grille!R:R,Grille!A:A,Grille_HT4!A13,Grille!C:C,Grille_HT4!B13,Grille!H:H,"Majeur")</f>
        <v>20</v>
      </c>
      <c r="D13" s="71">
        <f ca="1">SUMIFS(Grille!Q:Q,Grille!A:A,Grille_HT4!A13,Grille!C:C,Grille_HT4!B13,Grille!H:H,"Majeur")</f>
        <v>20</v>
      </c>
      <c r="E13" s="71">
        <f ca="1">SUMIFS(Grille!N:N,Grille!A:A,Grille_HT4!A13,Grille!C:C,Grille_HT4!B13,Grille!H:H,"Majeur")</f>
        <v>0</v>
      </c>
      <c r="F13" s="72">
        <f t="shared" ca="1" si="0"/>
        <v>0</v>
      </c>
      <c r="G13" s="71">
        <f>SUMIFS(Grille!R:R,Grille!A:A,Grille_HT4!A13,Grille!C:C,Grille_HT4!B13,Grille!H:H,"Mineur")</f>
        <v>6</v>
      </c>
      <c r="H13" s="71">
        <f ca="1">SUMIFS(Grille!Q:Q,Grille!A:A,Grille_HT4!A13,Grille!C:C,Grille_HT4!B13,Grille!H:H,"Mineur")</f>
        <v>6</v>
      </c>
      <c r="I13" s="71">
        <f ca="1">SUMIFS(Grille!N:N,Grille!A:A,Grille_HT4!A13,Grille!C:C,Grille_HT4!B13,Grille!H:H,"Mineur")</f>
        <v>0</v>
      </c>
      <c r="J13" s="72">
        <f t="shared" ca="1" si="1"/>
        <v>0</v>
      </c>
      <c r="K13" s="71">
        <v>15</v>
      </c>
      <c r="L13" s="73">
        <f t="shared" ca="1" si="2"/>
        <v>0.15</v>
      </c>
      <c r="M13" s="73">
        <f t="shared" ca="1" si="3"/>
        <v>0.15</v>
      </c>
      <c r="N13" s="73">
        <f ca="1">IF(ISNUMBER(F13),F13*L13,F13)</f>
        <v>0</v>
      </c>
      <c r="O13" s="73">
        <f t="shared" ca="1" si="4"/>
        <v>0</v>
      </c>
      <c r="P13" s="73">
        <f ca="1">IF(ISNUMBER(J13),J13*M13,J13)</f>
        <v>0</v>
      </c>
      <c r="Q13" s="73">
        <f t="shared" ca="1" si="5"/>
        <v>0</v>
      </c>
      <c r="R13" s="77"/>
      <c r="S13" s="75"/>
      <c r="T13" s="75"/>
      <c r="U13" s="75"/>
      <c r="V13" s="76"/>
      <c r="W13" s="76"/>
      <c r="X13" s="76"/>
      <c r="Y13" s="134">
        <f t="shared" si="8"/>
        <v>9</v>
      </c>
    </row>
    <row r="14" spans="1:25" x14ac:dyDescent="0.3">
      <c r="A14" s="64" t="s">
        <v>659</v>
      </c>
      <c r="B14" s="65" t="s">
        <v>668</v>
      </c>
      <c r="C14" s="71">
        <f>SUMIFS(Grille!R:R,Grille!A:A,Grille_HT4!A14,Grille!C:C,Grille_HT4!B14,Grille!H:H,"Majeur")</f>
        <v>2</v>
      </c>
      <c r="D14" s="71">
        <f ca="1">SUMIFS(Grille!Q:Q,Grille!A:A,Grille_HT4!A14,Grille!C:C,Grille_HT4!B14,Grille!H:H,"Majeur")</f>
        <v>2</v>
      </c>
      <c r="E14" s="71">
        <f ca="1">SUMIFS(Grille!N:N,Grille!A:A,Grille_HT4!A14,Grille!C:C,Grille_HT4!B14,Grille!H:H,"Majeur")</f>
        <v>0</v>
      </c>
      <c r="F14" s="72">
        <f t="shared" ca="1" si="0"/>
        <v>0</v>
      </c>
      <c r="G14" s="71">
        <f>SUMIFS(Grille!R:R,Grille!A:A,Grille_HT4!A14,Grille!C:C,Grille_HT4!B14,Grille!H:H,"Mineur")</f>
        <v>2</v>
      </c>
      <c r="H14" s="71">
        <f ca="1">SUMIFS(Grille!Q:Q,Grille!A:A,Grille_HT4!A14,Grille!C:C,Grille_HT4!B14,Grille!H:H,"Mineur")</f>
        <v>2</v>
      </c>
      <c r="I14" s="71">
        <f ca="1">SUMIFS(Grille!N:N,Grille!A:A,Grille_HT4!A14,Grille!C:C,Grille_HT4!B14,Grille!H:H,"Mineur")</f>
        <v>0</v>
      </c>
      <c r="J14" s="72">
        <f t="shared" ca="1" si="1"/>
        <v>0</v>
      </c>
      <c r="K14" s="71">
        <v>5</v>
      </c>
      <c r="L14" s="73">
        <f t="shared" ca="1" si="2"/>
        <v>0.05</v>
      </c>
      <c r="M14" s="73">
        <f t="shared" ca="1" si="3"/>
        <v>0.05</v>
      </c>
      <c r="N14" s="73">
        <f ca="1">IF(ISNUMBER(F14),F14*L14,F14)</f>
        <v>0</v>
      </c>
      <c r="O14" s="73">
        <f t="shared" ca="1" si="4"/>
        <v>0</v>
      </c>
      <c r="P14" s="73">
        <f ca="1">IF(ISNUMBER(J14),J14*M14,J14)</f>
        <v>0</v>
      </c>
      <c r="Q14" s="73">
        <f t="shared" ca="1" si="5"/>
        <v>0</v>
      </c>
      <c r="R14" s="77"/>
      <c r="S14" s="75"/>
      <c r="T14" s="75"/>
      <c r="U14" s="75"/>
      <c r="V14" s="76"/>
      <c r="W14" s="76"/>
      <c r="X14" s="76"/>
      <c r="Y14" s="134">
        <f t="shared" si="8"/>
        <v>10</v>
      </c>
    </row>
    <row r="15" spans="1:25" x14ac:dyDescent="0.3">
      <c r="A15" s="4"/>
      <c r="B15" s="4" t="str">
        <f>A16</f>
        <v>Sanitaires publiques</v>
      </c>
      <c r="C15" s="5"/>
      <c r="D15" s="5"/>
      <c r="E15" s="5"/>
      <c r="F15" s="5"/>
      <c r="G15" s="9"/>
      <c r="H15" s="9"/>
      <c r="I15" s="9"/>
      <c r="J15" s="6"/>
      <c r="K15" s="5"/>
      <c r="L15" s="5"/>
      <c r="M15" s="5"/>
      <c r="N15" s="6"/>
      <c r="O15" s="6"/>
      <c r="P15" s="6"/>
      <c r="Q15" s="6"/>
      <c r="R15" s="70">
        <v>2</v>
      </c>
      <c r="S15" s="7">
        <f t="shared" ca="1" si="6"/>
        <v>0.02</v>
      </c>
      <c r="T15" s="7">
        <f ca="1">IFERROR(S15/SUM(S:S),S15)</f>
        <v>2.4390243902439025E-2</v>
      </c>
      <c r="U15" s="7">
        <f ca="1">IFERROR(T15*O16,T15)</f>
        <v>0</v>
      </c>
      <c r="V15" s="7">
        <f t="shared" ca="1" si="7"/>
        <v>0.02</v>
      </c>
      <c r="W15" s="7">
        <f ca="1">IFERROR(V15/SUM(V:V),V15)</f>
        <v>2.0202020202020204E-2</v>
      </c>
      <c r="X15" s="7">
        <f ca="1">IFERROR(W15*Q16,W15)</f>
        <v>0</v>
      </c>
    </row>
    <row r="16" spans="1:25" x14ac:dyDescent="0.3">
      <c r="A16" s="64" t="s">
        <v>669</v>
      </c>
      <c r="B16" s="65" t="s">
        <v>671</v>
      </c>
      <c r="C16" s="71">
        <f>SUMIFS(Grille!R:R,Grille!A:A,Grille_HT4!A16,Grille!C:C,Grille_HT4!B16,Grille!H:H,"Majeur")</f>
        <v>15</v>
      </c>
      <c r="D16" s="71">
        <f ca="1">SUMIFS(Grille!Q:Q,Grille!A:A,Grille_HT4!A16,Grille!C:C,Grille_HT4!B16,Grille!H:H,"Majeur")</f>
        <v>15</v>
      </c>
      <c r="E16" s="71">
        <f ca="1">SUMIFS(Grille!N:N,Grille!A:A,Grille_HT4!A16,Grille!C:C,Grille_HT4!B16,Grille!H:H,"Majeur")</f>
        <v>0</v>
      </c>
      <c r="F16" s="72">
        <f t="shared" ca="1" si="0"/>
        <v>0</v>
      </c>
      <c r="G16" s="71">
        <f>SUMIFS(Grille!R:R,Grille!A:A,Grille_HT4!A16,Grille!C:C,Grille_HT4!B16,Grille!H:H,"Mineur")</f>
        <v>1</v>
      </c>
      <c r="H16" s="71">
        <f ca="1">SUMIFS(Grille!Q:Q,Grille!A:A,Grille_HT4!A16,Grille!C:C,Grille_HT4!B16,Grille!H:H,"Mineur")</f>
        <v>1</v>
      </c>
      <c r="I16" s="71">
        <f ca="1">SUMIFS(Grille!N:N,Grille!A:A,Grille_HT4!A16,Grille!C:C,Grille_HT4!B16,Grille!H:H,"Mineur")</f>
        <v>0</v>
      </c>
      <c r="J16" s="72">
        <f t="shared" ca="1" si="1"/>
        <v>0</v>
      </c>
      <c r="K16" s="71">
        <v>40</v>
      </c>
      <c r="L16" s="73">
        <f t="shared" ca="1" si="2"/>
        <v>0.4</v>
      </c>
      <c r="M16" s="73">
        <f t="shared" ca="1" si="3"/>
        <v>0.4</v>
      </c>
      <c r="N16" s="73">
        <f ca="1">IF(ISNUMBER(F16),F16*L16,F16)</f>
        <v>0</v>
      </c>
      <c r="O16" s="73">
        <f t="shared" ca="1" si="4"/>
        <v>0</v>
      </c>
      <c r="P16" s="73">
        <f ca="1">IF(ISNUMBER(J16),J16*M16,J16)</f>
        <v>0</v>
      </c>
      <c r="Q16" s="73">
        <f t="shared" ca="1" si="5"/>
        <v>0</v>
      </c>
      <c r="R16" s="77"/>
      <c r="S16" s="75"/>
      <c r="T16" s="75"/>
      <c r="U16" s="75"/>
      <c r="V16" s="76"/>
      <c r="W16" s="76"/>
      <c r="X16" s="76"/>
      <c r="Y16" s="134">
        <v>11</v>
      </c>
    </row>
    <row r="17" spans="1:25" x14ac:dyDescent="0.3">
      <c r="A17" s="64" t="s">
        <v>669</v>
      </c>
      <c r="B17" s="65" t="s">
        <v>673</v>
      </c>
      <c r="C17" s="71">
        <f>SUMIFS(Grille!R:R,Grille!A:A,Grille_HT4!A17,Grille!C:C,Grille_HT4!B17,Grille!H:H,"Majeur")</f>
        <v>9</v>
      </c>
      <c r="D17" s="71">
        <f ca="1">SUMIFS(Grille!Q:Q,Grille!A:A,Grille_HT4!A17,Grille!C:C,Grille_HT4!B17,Grille!H:H,"Majeur")</f>
        <v>9</v>
      </c>
      <c r="E17" s="71">
        <f ca="1">SUMIFS(Grille!N:N,Grille!A:A,Grille_HT4!A17,Grille!C:C,Grille_HT4!B17,Grille!H:H,"Majeur")</f>
        <v>0</v>
      </c>
      <c r="F17" s="72">
        <f t="shared" ca="1" si="0"/>
        <v>0</v>
      </c>
      <c r="G17" s="71">
        <f>SUMIFS(Grille!R:R,Grille!A:A,Grille_HT4!A17,Grille!C:C,Grille_HT4!B17,Grille!H:H,"Mineur")</f>
        <v>3</v>
      </c>
      <c r="H17" s="71">
        <f ca="1">SUMIFS(Grille!Q:Q,Grille!A:A,Grille_HT4!A17,Grille!C:C,Grille_HT4!B17,Grille!H:H,"Mineur")</f>
        <v>3</v>
      </c>
      <c r="I17" s="71">
        <f ca="1">SUMIFS(Grille!N:N,Grille!A:A,Grille_HT4!A17,Grille!C:C,Grille_HT4!B17,Grille!H:H,"Mineur")</f>
        <v>0</v>
      </c>
      <c r="J17" s="72">
        <f t="shared" ca="1" si="1"/>
        <v>0</v>
      </c>
      <c r="K17" s="71">
        <v>30</v>
      </c>
      <c r="L17" s="73">
        <f t="shared" ca="1" si="2"/>
        <v>0.3</v>
      </c>
      <c r="M17" s="73">
        <f t="shared" ca="1" si="3"/>
        <v>0.3</v>
      </c>
      <c r="N17" s="73">
        <f ca="1">IF(ISNUMBER(F17),F17*L17,F17)</f>
        <v>0</v>
      </c>
      <c r="O17" s="73">
        <f t="shared" ca="1" si="4"/>
        <v>0</v>
      </c>
      <c r="P17" s="73">
        <f ca="1">IF(ISNUMBER(J17),J17*M17,J17)</f>
        <v>0</v>
      </c>
      <c r="Q17" s="73">
        <f t="shared" ca="1" si="5"/>
        <v>0</v>
      </c>
      <c r="R17" s="77"/>
      <c r="S17" s="75"/>
      <c r="T17" s="75"/>
      <c r="U17" s="75"/>
      <c r="V17" s="76"/>
      <c r="W17" s="76"/>
      <c r="X17" s="76"/>
      <c r="Y17" s="134">
        <f t="shared" si="8"/>
        <v>12</v>
      </c>
    </row>
    <row r="18" spans="1:25" x14ac:dyDescent="0.3">
      <c r="A18" s="64" t="s">
        <v>669</v>
      </c>
      <c r="B18" s="65" t="s">
        <v>675</v>
      </c>
      <c r="C18" s="71">
        <f>SUMIFS(Grille!R:R,Grille!A:A,Grille_HT4!A18,Grille!C:C,Grille_HT4!B18,Grille!H:H,"Majeur")</f>
        <v>13</v>
      </c>
      <c r="D18" s="71">
        <f ca="1">SUMIFS(Grille!Q:Q,Grille!A:A,Grille_HT4!A18,Grille!C:C,Grille_HT4!B18,Grille!H:H,"Majeur")</f>
        <v>13</v>
      </c>
      <c r="E18" s="71">
        <f ca="1">SUMIFS(Grille!N:N,Grille!A:A,Grille_HT4!A18,Grille!C:C,Grille_HT4!B18,Grille!H:H,"Majeur")</f>
        <v>0</v>
      </c>
      <c r="F18" s="72">
        <f t="shared" ca="1" si="0"/>
        <v>0</v>
      </c>
      <c r="G18" s="71">
        <f>SUMIFS(Grille!R:R,Grille!A:A,Grille_HT4!A18,Grille!C:C,Grille_HT4!B18,Grille!H:H,"Mineur")</f>
        <v>2</v>
      </c>
      <c r="H18" s="71">
        <f ca="1">SUMIFS(Grille!Q:Q,Grille!A:A,Grille_HT4!A18,Grille!C:C,Grille_HT4!B18,Grille!H:H,"Mineur")</f>
        <v>2</v>
      </c>
      <c r="I18" s="71">
        <f ca="1">SUMIFS(Grille!N:N,Grille!A:A,Grille_HT4!A18,Grille!C:C,Grille_HT4!B18,Grille!H:H,"Mineur")</f>
        <v>0</v>
      </c>
      <c r="J18" s="72">
        <f t="shared" ca="1" si="1"/>
        <v>0</v>
      </c>
      <c r="K18" s="71">
        <v>30</v>
      </c>
      <c r="L18" s="73">
        <f t="shared" ca="1" si="2"/>
        <v>0.3</v>
      </c>
      <c r="M18" s="73">
        <f t="shared" ca="1" si="3"/>
        <v>0.3</v>
      </c>
      <c r="N18" s="73">
        <f ca="1">IF(ISNUMBER(F18),F18*L18,F18)</f>
        <v>0</v>
      </c>
      <c r="O18" s="73">
        <f t="shared" ca="1" si="4"/>
        <v>0</v>
      </c>
      <c r="P18" s="73">
        <f ca="1">IF(ISNUMBER(J18),J18*M18,J18)</f>
        <v>0</v>
      </c>
      <c r="Q18" s="73">
        <f t="shared" ca="1" si="5"/>
        <v>0</v>
      </c>
      <c r="R18" s="77"/>
      <c r="S18" s="75"/>
      <c r="T18" s="75"/>
      <c r="U18" s="75"/>
      <c r="V18" s="76"/>
      <c r="W18" s="76"/>
      <c r="X18" s="76"/>
      <c r="Y18" s="134">
        <f t="shared" si="8"/>
        <v>13</v>
      </c>
    </row>
    <row r="19" spans="1:25" x14ac:dyDescent="0.3">
      <c r="A19" s="4"/>
      <c r="B19" s="4" t="str">
        <f>A20</f>
        <v>Circulation</v>
      </c>
      <c r="C19" s="5"/>
      <c r="D19" s="5"/>
      <c r="E19" s="5"/>
      <c r="F19" s="5"/>
      <c r="G19" s="9"/>
      <c r="H19" s="9"/>
      <c r="I19" s="9"/>
      <c r="J19" s="6"/>
      <c r="K19" s="5"/>
      <c r="L19" s="5"/>
      <c r="M19" s="5"/>
      <c r="N19" s="6"/>
      <c r="O19" s="6"/>
      <c r="P19" s="6"/>
      <c r="Q19" s="6"/>
      <c r="R19" s="70">
        <v>3</v>
      </c>
      <c r="S19" s="7">
        <f t="shared" ca="1" si="6"/>
        <v>0.03</v>
      </c>
      <c r="T19" s="7">
        <f ca="1">IFERROR(S19/SUM(S:S),S19)</f>
        <v>3.6585365853658534E-2</v>
      </c>
      <c r="U19" s="7">
        <f ca="1">IFERROR(T19*O20,T19)</f>
        <v>0</v>
      </c>
      <c r="V19" s="7">
        <f t="shared" ca="1" si="7"/>
        <v>0.03</v>
      </c>
      <c r="W19" s="7">
        <f ca="1">IFERROR(V19/SUM(V:V),V19)</f>
        <v>3.0303030303030304E-2</v>
      </c>
      <c r="X19" s="7">
        <f ca="1">IFERROR(W19*Q20,W19)</f>
        <v>0</v>
      </c>
    </row>
    <row r="20" spans="1:25" x14ac:dyDescent="0.3">
      <c r="A20" s="64" t="s">
        <v>676</v>
      </c>
      <c r="B20" s="65" t="s">
        <v>677</v>
      </c>
      <c r="C20" s="71">
        <f>SUMIFS(Grille!R:R,Grille!A:A,Grille_HT4!A20,Grille!C:C,Grille_HT4!B20,Grille!H:H,"Majeur")</f>
        <v>19</v>
      </c>
      <c r="D20" s="71">
        <f ca="1">SUMIFS(Grille!Q:Q,Grille!A:A,Grille_HT4!A20,Grille!C:C,Grille_HT4!B20,Grille!H:H,"Majeur")</f>
        <v>19</v>
      </c>
      <c r="E20" s="71">
        <f ca="1">SUMIFS(Grille!N:N,Grille!A:A,Grille_HT4!A20,Grille!C:C,Grille_HT4!B20,Grille!H:H,"Majeur")</f>
        <v>0</v>
      </c>
      <c r="F20" s="72">
        <f t="shared" ca="1" si="0"/>
        <v>0</v>
      </c>
      <c r="G20" s="71">
        <f>SUMIFS(Grille!R:R,Grille!A:A,Grille_HT4!A20,Grille!C:C,Grille_HT4!B20,Grille!H:H,"Mineur")</f>
        <v>2</v>
      </c>
      <c r="H20" s="71">
        <f ca="1">SUMIFS(Grille!Q:Q,Grille!A:A,Grille_HT4!A20,Grille!C:C,Grille_HT4!B20,Grille!H:H,"Mineur")</f>
        <v>2</v>
      </c>
      <c r="I20" s="71">
        <f ca="1">SUMIFS(Grille!N:N,Grille!A:A,Grille_HT4!A20,Grille!C:C,Grille_HT4!B20,Grille!H:H,"Mineur")</f>
        <v>0</v>
      </c>
      <c r="J20" s="72">
        <f t="shared" ca="1" si="1"/>
        <v>0</v>
      </c>
      <c r="K20" s="71">
        <v>70</v>
      </c>
      <c r="L20" s="73">
        <f t="shared" ca="1" si="2"/>
        <v>0.7</v>
      </c>
      <c r="M20" s="73">
        <f t="shared" ca="1" si="3"/>
        <v>1</v>
      </c>
      <c r="N20" s="73">
        <f ca="1">IF(ISNUMBER(F20),F20*L20,F20)</f>
        <v>0</v>
      </c>
      <c r="O20" s="73">
        <f t="shared" ca="1" si="4"/>
        <v>0</v>
      </c>
      <c r="P20" s="73">
        <f ca="1">IF(ISNUMBER(J20),J20*M20,J20)</f>
        <v>0</v>
      </c>
      <c r="Q20" s="73">
        <f t="shared" ca="1" si="5"/>
        <v>0</v>
      </c>
      <c r="R20" s="77"/>
      <c r="S20" s="75"/>
      <c r="T20" s="75"/>
      <c r="U20" s="75"/>
      <c r="V20" s="76"/>
      <c r="W20" s="76"/>
      <c r="X20" s="76"/>
      <c r="Y20" s="134">
        <v>14</v>
      </c>
    </row>
    <row r="21" spans="1:25" x14ac:dyDescent="0.3">
      <c r="A21" s="64" t="s">
        <v>676</v>
      </c>
      <c r="B21" s="65" t="s">
        <v>678</v>
      </c>
      <c r="C21" s="71">
        <f>SUMIFS(Grille!R:R,Grille!A:A,Grille_HT4!A21,Grille!C:C,Grille_HT4!B21,Grille!H:H,"Majeur")</f>
        <v>16</v>
      </c>
      <c r="D21" s="71">
        <f ca="1">SUMIFS(Grille!Q:Q,Grille!A:A,Grille_HT4!A21,Grille!C:C,Grille_HT4!B21,Grille!H:H,"Majeur")</f>
        <v>16</v>
      </c>
      <c r="E21" s="71">
        <f ca="1">SUMIFS(Grille!N:N,Grille!A:A,Grille_HT4!A21,Grille!C:C,Grille_HT4!B21,Grille!H:H,"Majeur")</f>
        <v>0</v>
      </c>
      <c r="F21" s="72">
        <f t="shared" ca="1" si="0"/>
        <v>0</v>
      </c>
      <c r="G21" s="71">
        <f>SUMIFS(Grille!R:R,Grille!A:A,Grille_HT4!A21,Grille!C:C,Grille_HT4!B21,Grille!H:H,"Mineur")</f>
        <v>0</v>
      </c>
      <c r="H21" s="71">
        <f>SUMIFS(Grille!Q:Q,Grille!A:A,Grille_HT4!A21,Grille!C:C,Grille_HT4!B21,Grille!H:H,"Mineur")</f>
        <v>0</v>
      </c>
      <c r="I21" s="71">
        <f>SUMIFS(Grille!N:N,Grille!A:A,Grille_HT4!A21,Grille!C:C,Grille_HT4!B21,Grille!H:H,"Mineur")</f>
        <v>0</v>
      </c>
      <c r="J21" s="72" t="str">
        <f t="shared" si="1"/>
        <v>Non appliqué</v>
      </c>
      <c r="K21" s="71">
        <v>30</v>
      </c>
      <c r="L21" s="73">
        <f t="shared" ca="1" si="2"/>
        <v>0.3</v>
      </c>
      <c r="M21" s="73" t="str">
        <f t="shared" si="3"/>
        <v>Non appliqué</v>
      </c>
      <c r="N21" s="73">
        <f ca="1">IF(ISNUMBER(F21),F21*L21,F21)</f>
        <v>0</v>
      </c>
      <c r="O21" s="73">
        <f t="shared" ca="1" si="4"/>
        <v>0</v>
      </c>
      <c r="P21" s="73" t="str">
        <f>IF(ISNUMBER(J21),J21*M21,J21)</f>
        <v>Non appliqué</v>
      </c>
      <c r="Q21" s="73">
        <f t="shared" ca="1" si="5"/>
        <v>0</v>
      </c>
      <c r="R21" s="77"/>
      <c r="S21" s="75"/>
      <c r="T21" s="75"/>
      <c r="U21" s="75"/>
      <c r="V21" s="76"/>
      <c r="W21" s="76"/>
      <c r="X21" s="76"/>
      <c r="Y21" s="134">
        <f t="shared" si="8"/>
        <v>15</v>
      </c>
    </row>
    <row r="22" spans="1:25" x14ac:dyDescent="0.3">
      <c r="A22" s="4"/>
      <c r="B22" s="4" t="str">
        <f>A23</f>
        <v>Petit déjeuner</v>
      </c>
      <c r="C22" s="5"/>
      <c r="D22" s="5"/>
      <c r="E22" s="5"/>
      <c r="F22" s="5"/>
      <c r="G22" s="9"/>
      <c r="H22" s="9"/>
      <c r="I22" s="9"/>
      <c r="J22" s="6"/>
      <c r="K22" s="5"/>
      <c r="L22" s="5"/>
      <c r="M22" s="5"/>
      <c r="N22" s="6"/>
      <c r="O22" s="6"/>
      <c r="P22" s="6"/>
      <c r="Q22" s="6"/>
      <c r="R22" s="70">
        <v>7.5</v>
      </c>
      <c r="S22" s="7">
        <f t="shared" ca="1" si="6"/>
        <v>7.4999999999999997E-2</v>
      </c>
      <c r="T22" s="7">
        <f ca="1">IFERROR(S22/SUM(S:S),S22)</f>
        <v>9.1463414634146339E-2</v>
      </c>
      <c r="U22" s="7">
        <f ca="1">IFERROR(T22*O23,T22)</f>
        <v>0</v>
      </c>
      <c r="V22" s="7">
        <f t="shared" ca="1" si="7"/>
        <v>7.4999999999999997E-2</v>
      </c>
      <c r="W22" s="7">
        <f ca="1">IFERROR(V22/SUM(V:V),V22)</f>
        <v>7.575757575757576E-2</v>
      </c>
      <c r="X22" s="7">
        <f ca="1">IFERROR(W22*Q23,W22)</f>
        <v>0</v>
      </c>
    </row>
    <row r="23" spans="1:25" x14ac:dyDescent="0.3">
      <c r="A23" s="64" t="s">
        <v>680</v>
      </c>
      <c r="B23" s="65" t="s">
        <v>682</v>
      </c>
      <c r="C23" s="71">
        <f>SUMIFS(Grille!R:R,Grille!A:A,Grille_HT4!A23,Grille!C:C,Grille_HT4!B23,Grille!H:H,"Majeur")</f>
        <v>16</v>
      </c>
      <c r="D23" s="71">
        <f ca="1">SUMIFS(Grille!Q:Q,Grille!A:A,Grille_HT4!A23,Grille!C:C,Grille_HT4!B23,Grille!H:H,"Majeur")</f>
        <v>16</v>
      </c>
      <c r="E23" s="71">
        <f ca="1">SUMIFS(Grille!N:N,Grille!A:A,Grille_HT4!A23,Grille!C:C,Grille_HT4!B23,Grille!H:H,"Majeur")</f>
        <v>0</v>
      </c>
      <c r="F23" s="72">
        <f t="shared" ca="1" si="0"/>
        <v>0</v>
      </c>
      <c r="G23" s="71">
        <f>SUMIFS(Grille!R:R,Grille!A:A,Grille_HT4!A23,Grille!C:C,Grille_HT4!B23,Grille!H:H,"Mineur")</f>
        <v>7</v>
      </c>
      <c r="H23" s="71">
        <f ca="1">SUMIFS(Grille!Q:Q,Grille!A:A,Grille_HT4!A23,Grille!C:C,Grille_HT4!B23,Grille!H:H,"Mineur")</f>
        <v>7</v>
      </c>
      <c r="I23" s="71">
        <f ca="1">SUMIFS(Grille!N:N,Grille!A:A,Grille_HT4!A23,Grille!C:C,Grille_HT4!B23,Grille!H:H,"Mineur")</f>
        <v>0</v>
      </c>
      <c r="J23" s="72">
        <f t="shared" ca="1" si="1"/>
        <v>0</v>
      </c>
      <c r="K23" s="71">
        <v>70</v>
      </c>
      <c r="L23" s="73">
        <f t="shared" ca="1" si="2"/>
        <v>0.7</v>
      </c>
      <c r="M23" s="73">
        <f t="shared" ca="1" si="3"/>
        <v>1</v>
      </c>
      <c r="N23" s="73">
        <f ca="1">IF(ISNUMBER(F23),F23*L23,F23)</f>
        <v>0</v>
      </c>
      <c r="O23" s="73">
        <f t="shared" ca="1" si="4"/>
        <v>0</v>
      </c>
      <c r="P23" s="73">
        <f ca="1">IF(ISNUMBER(J23),J23*M23,J23)</f>
        <v>0</v>
      </c>
      <c r="Q23" s="73">
        <f t="shared" ca="1" si="5"/>
        <v>0</v>
      </c>
      <c r="R23" s="77"/>
      <c r="S23" s="75"/>
      <c r="T23" s="75"/>
      <c r="U23" s="75"/>
      <c r="V23" s="76"/>
      <c r="W23" s="76"/>
      <c r="X23" s="76"/>
      <c r="Y23" s="134">
        <v>16</v>
      </c>
    </row>
    <row r="24" spans="1:25" x14ac:dyDescent="0.3">
      <c r="A24" s="64" t="s">
        <v>680</v>
      </c>
      <c r="B24" s="65" t="s">
        <v>685</v>
      </c>
      <c r="C24" s="71">
        <f>SUMIFS(Grille!R:R,Grille!A:A,Grille_HT4!A24,Grille!C:C,Grille_HT4!B24,Grille!H:H,"Majeur")</f>
        <v>18</v>
      </c>
      <c r="D24" s="71">
        <f ca="1">SUMIFS(Grille!Q:Q,Grille!A:A,Grille_HT4!A24,Grille!C:C,Grille_HT4!B24,Grille!H:H,"Majeur")</f>
        <v>18</v>
      </c>
      <c r="E24" s="71">
        <f ca="1">SUMIFS(Grille!N:N,Grille!A:A,Grille_HT4!A24,Grille!C:C,Grille_HT4!B24,Grille!H:H,"Majeur")</f>
        <v>0</v>
      </c>
      <c r="F24" s="72">
        <f t="shared" ca="1" si="0"/>
        <v>0</v>
      </c>
      <c r="G24" s="71">
        <f>SUMIFS(Grille!R:R,Grille!A:A,Grille_HT4!A24,Grille!C:C,Grille_HT4!B24,Grille!H:H,"Mineur")</f>
        <v>0</v>
      </c>
      <c r="H24" s="71">
        <f>SUMIFS(Grille!Q:Q,Grille!A:A,Grille_HT4!A24,Grille!C:C,Grille_HT4!B24,Grille!H:H,"Mineur")</f>
        <v>0</v>
      </c>
      <c r="I24" s="71">
        <f>SUMIFS(Grille!N:N,Grille!A:A,Grille_HT4!A24,Grille!C:C,Grille_HT4!B24,Grille!H:H,"Mineur")</f>
        <v>0</v>
      </c>
      <c r="J24" s="72" t="str">
        <f t="shared" si="1"/>
        <v>Non appliqué</v>
      </c>
      <c r="K24" s="71">
        <v>30</v>
      </c>
      <c r="L24" s="73">
        <f t="shared" ca="1" si="2"/>
        <v>0.3</v>
      </c>
      <c r="M24" s="73" t="str">
        <f t="shared" si="3"/>
        <v>Non appliqué</v>
      </c>
      <c r="N24" s="73">
        <f ca="1">IF(ISNUMBER(F24),F24*L24,F24)</f>
        <v>0</v>
      </c>
      <c r="O24" s="73">
        <f t="shared" ca="1" si="4"/>
        <v>0</v>
      </c>
      <c r="P24" s="73" t="str">
        <f>IF(ISNUMBER(J24),J24*M24,J24)</f>
        <v>Non appliqué</v>
      </c>
      <c r="Q24" s="73">
        <f t="shared" ca="1" si="5"/>
        <v>0</v>
      </c>
      <c r="R24" s="77"/>
      <c r="S24" s="75"/>
      <c r="T24" s="75"/>
      <c r="U24" s="75"/>
      <c r="V24" s="76"/>
      <c r="W24" s="76"/>
      <c r="X24" s="76"/>
      <c r="Y24" s="134">
        <f t="shared" si="8"/>
        <v>17</v>
      </c>
    </row>
    <row r="25" spans="1:25" x14ac:dyDescent="0.3">
      <c r="A25" s="4"/>
      <c r="B25" s="4" t="s">
        <v>686</v>
      </c>
      <c r="C25" s="5"/>
      <c r="D25" s="5"/>
      <c r="E25" s="5"/>
      <c r="F25" s="5"/>
      <c r="G25" s="9"/>
      <c r="H25" s="9"/>
      <c r="I25" s="9"/>
      <c r="J25" s="6"/>
      <c r="K25" s="5"/>
      <c r="L25" s="5"/>
      <c r="M25" s="5"/>
      <c r="N25" s="6"/>
      <c r="O25" s="6"/>
      <c r="P25" s="6"/>
      <c r="Q25" s="6"/>
      <c r="R25" s="70">
        <v>7.5</v>
      </c>
      <c r="S25" s="7">
        <f t="shared" ca="1" si="6"/>
        <v>7.4999999999999997E-2</v>
      </c>
      <c r="T25" s="7">
        <f ca="1">IFERROR(S25/SUM(S:S),S25)</f>
        <v>9.1463414634146339E-2</v>
      </c>
      <c r="U25" s="7">
        <f ca="1">IFERROR(T25*O26,T25)</f>
        <v>0</v>
      </c>
      <c r="V25" s="7">
        <f t="shared" ca="1" si="7"/>
        <v>7.4999999999999997E-2</v>
      </c>
      <c r="W25" s="7">
        <f ca="1">IFERROR(V25/SUM(V:V),V25)</f>
        <v>7.575757575757576E-2</v>
      </c>
      <c r="X25" s="7">
        <f ca="1">IFERROR(W25*Q26,W25)</f>
        <v>0</v>
      </c>
    </row>
    <row r="26" spans="1:25" x14ac:dyDescent="0.3">
      <c r="A26" s="64" t="s">
        <v>686</v>
      </c>
      <c r="B26" s="65" t="s">
        <v>682</v>
      </c>
      <c r="C26" s="71">
        <f>SUMIFS(Grille!R:R,Grille!A:A,Grille_HT4!A26,Grille!C:C,Grille_HT4!B26,Grille!H:H,"Majeur")</f>
        <v>16</v>
      </c>
      <c r="D26" s="71">
        <f ca="1">SUMIFS(Grille!Q:Q,Grille!A:A,Grille_HT4!A26,Grille!C:C,Grille_HT4!B26,Grille!H:H,"Majeur")</f>
        <v>16</v>
      </c>
      <c r="E26" s="71">
        <f ca="1">SUMIFS(Grille!N:N,Grille!A:A,Grille_HT4!A26,Grille!C:C,Grille_HT4!B26,Grille!H:H,"Majeur")</f>
        <v>0</v>
      </c>
      <c r="F26" s="72">
        <f t="shared" ca="1" si="0"/>
        <v>0</v>
      </c>
      <c r="G26" s="71">
        <f>SUMIFS(Grille!R:R,Grille!A:A,Grille_HT4!A26,Grille!C:C,Grille_HT4!B26,Grille!H:H,"Mineur")</f>
        <v>2</v>
      </c>
      <c r="H26" s="71">
        <f ca="1">SUMIFS(Grille!Q:Q,Grille!A:A,Grille_HT4!A26,Grille!C:C,Grille_HT4!B26,Grille!H:H,"Mineur")</f>
        <v>2</v>
      </c>
      <c r="I26" s="71">
        <f ca="1">SUMIFS(Grille!N:N,Grille!A:A,Grille_HT4!A26,Grille!C:C,Grille_HT4!B26,Grille!H:H,"Mineur")</f>
        <v>0</v>
      </c>
      <c r="J26" s="72">
        <f t="shared" ca="1" si="1"/>
        <v>0</v>
      </c>
      <c r="K26" s="71">
        <v>50</v>
      </c>
      <c r="L26" s="73">
        <f t="shared" ca="1" si="2"/>
        <v>0.5</v>
      </c>
      <c r="M26" s="73">
        <f t="shared" ca="1" si="3"/>
        <v>0.5</v>
      </c>
      <c r="N26" s="73">
        <f ca="1">IF(ISNUMBER(F26),F26*L26,F26)</f>
        <v>0</v>
      </c>
      <c r="O26" s="73">
        <f t="shared" ca="1" si="4"/>
        <v>0</v>
      </c>
      <c r="P26" s="73">
        <f ca="1">IF(ISNUMBER(J26),J26*M26,J26)</f>
        <v>0</v>
      </c>
      <c r="Q26" s="73">
        <f t="shared" ca="1" si="5"/>
        <v>0</v>
      </c>
      <c r="R26" s="77"/>
      <c r="S26" s="75"/>
      <c r="T26" s="75"/>
      <c r="U26" s="75"/>
      <c r="V26" s="76"/>
      <c r="W26" s="76"/>
      <c r="X26" s="76"/>
      <c r="Y26" s="134">
        <f>Y24+1</f>
        <v>18</v>
      </c>
    </row>
    <row r="27" spans="1:25" x14ac:dyDescent="0.3">
      <c r="A27" s="64" t="s">
        <v>686</v>
      </c>
      <c r="B27" s="65" t="s">
        <v>685</v>
      </c>
      <c r="C27" s="71">
        <f>SUMIFS(Grille!R:R,Grille!A:A,Grille_HT4!A27,Grille!C:C,Grille_HT4!B27,Grille!H:H,"Majeur")</f>
        <v>22</v>
      </c>
      <c r="D27" s="71">
        <f ca="1">SUMIFS(Grille!Q:Q,Grille!A:A,Grille_HT4!A27,Grille!C:C,Grille_HT4!B27,Grille!H:H,"Majeur")</f>
        <v>22</v>
      </c>
      <c r="E27" s="71">
        <f ca="1">SUMIFS(Grille!N:N,Grille!A:A,Grille_HT4!A27,Grille!C:C,Grille_HT4!B27,Grille!H:H,"Majeur")</f>
        <v>0</v>
      </c>
      <c r="F27" s="72">
        <f t="shared" ca="1" si="0"/>
        <v>0</v>
      </c>
      <c r="G27" s="71">
        <f>SUMIFS(Grille!R:R,Grille!A:A,Grille_HT4!A27,Grille!C:C,Grille_HT4!B27,Grille!H:H,"Mineur")</f>
        <v>2</v>
      </c>
      <c r="H27" s="71">
        <f ca="1">SUMIFS(Grille!Q:Q,Grille!A:A,Grille_HT4!A27,Grille!C:C,Grille_HT4!B27,Grille!H:H,"Mineur")</f>
        <v>2</v>
      </c>
      <c r="I27" s="71">
        <f ca="1">SUMIFS(Grille!N:N,Grille!A:A,Grille_HT4!A27,Grille!C:C,Grille_HT4!B27,Grille!H:H,"Mineur")</f>
        <v>0</v>
      </c>
      <c r="J27" s="72">
        <f t="shared" ca="1" si="1"/>
        <v>0</v>
      </c>
      <c r="K27" s="71">
        <v>50</v>
      </c>
      <c r="L27" s="73">
        <f t="shared" ca="1" si="2"/>
        <v>0.5</v>
      </c>
      <c r="M27" s="73">
        <f t="shared" ca="1" si="3"/>
        <v>0.5</v>
      </c>
      <c r="N27" s="73">
        <f ca="1">IF(ISNUMBER(F27),F27*L27,F27)</f>
        <v>0</v>
      </c>
      <c r="O27" s="73">
        <f t="shared" ca="1" si="4"/>
        <v>0</v>
      </c>
      <c r="P27" s="73">
        <f ca="1">IF(ISNUMBER(J27),J27*M27,J27)</f>
        <v>0</v>
      </c>
      <c r="Q27" s="73">
        <f t="shared" ca="1" si="5"/>
        <v>0</v>
      </c>
      <c r="R27" s="77"/>
      <c r="S27" s="75"/>
      <c r="T27" s="75"/>
      <c r="U27" s="75"/>
      <c r="V27" s="76"/>
      <c r="W27" s="76"/>
      <c r="X27" s="76"/>
      <c r="Y27" s="134">
        <f t="shared" si="8"/>
        <v>19</v>
      </c>
    </row>
    <row r="28" spans="1:25" ht="25.2" x14ac:dyDescent="0.3">
      <c r="A28" s="4"/>
      <c r="B28" s="4" t="s">
        <v>692</v>
      </c>
      <c r="C28" s="5"/>
      <c r="D28" s="5"/>
      <c r="E28" s="5"/>
      <c r="F28" s="5"/>
      <c r="G28" s="9"/>
      <c r="H28" s="9"/>
      <c r="I28" s="9"/>
      <c r="J28" s="6"/>
      <c r="K28" s="5"/>
      <c r="L28" s="5"/>
      <c r="M28" s="5"/>
      <c r="N28" s="6"/>
      <c r="O28" s="6"/>
      <c r="P28" s="6"/>
      <c r="Q28" s="6"/>
      <c r="R28" s="70">
        <v>3</v>
      </c>
      <c r="S28" s="7" t="str">
        <f t="shared" si="6"/>
        <v>Non appliqué</v>
      </c>
      <c r="T28" s="7" t="str">
        <f ca="1">IFERROR(S28/SUM(S:S),S28)</f>
        <v>Non appliqué</v>
      </c>
      <c r="U28" s="7" t="str">
        <f ca="1">IFERROR(T28*O29,T28)</f>
        <v>Non appliqué</v>
      </c>
      <c r="V28" s="7">
        <f t="shared" ca="1" si="7"/>
        <v>0.03</v>
      </c>
      <c r="W28" s="7">
        <f ca="1">IFERROR(V28/SUM(V:V),V28)</f>
        <v>3.0303030303030304E-2</v>
      </c>
      <c r="X28" s="7">
        <f ca="1">IFERROR(W28*Q29,W28)</f>
        <v>0</v>
      </c>
    </row>
    <row r="29" spans="1:25" x14ac:dyDescent="0.3">
      <c r="A29" s="64" t="s">
        <v>692</v>
      </c>
      <c r="B29" s="65" t="s">
        <v>682</v>
      </c>
      <c r="C29" s="71">
        <f>SUMIFS(Grille!R:R,Grille!A:A,Grille_HT4!A29,Grille!C:C,Grille_HT4!B29,Grille!H:H,"Majeur")</f>
        <v>0</v>
      </c>
      <c r="D29" s="71">
        <f>SUMIFS(Grille!Q:Q,Grille!A:A,Grille_HT4!A29,Grille!C:C,Grille_HT4!B29,Grille!H:H,"Majeur")</f>
        <v>0</v>
      </c>
      <c r="E29" s="71">
        <f>SUMIFS(Grille!N:N,Grille!A:A,Grille_HT4!A29,Grille!C:C,Grille_HT4!B29,Grille!H:H,"Majeur")</f>
        <v>0</v>
      </c>
      <c r="F29" s="72" t="str">
        <f t="shared" si="0"/>
        <v>Non appliqué</v>
      </c>
      <c r="G29" s="71">
        <f>SUMIFS(Grille!R:R,Grille!A:A,Grille_HT4!A29,Grille!C:C,Grille_HT4!B29,Grille!H:H,"Mineur")</f>
        <v>17</v>
      </c>
      <c r="H29" s="71">
        <f ca="1">SUMIFS(Grille!Q:Q,Grille!A:A,Grille_HT4!A29,Grille!C:C,Grille_HT4!B29,Grille!H:H,"Mineur")</f>
        <v>17</v>
      </c>
      <c r="I29" s="71">
        <f ca="1">SUMIFS(Grille!N:N,Grille!A:A,Grille_HT4!A29,Grille!C:C,Grille_HT4!B29,Grille!H:H,"Mineur")</f>
        <v>0</v>
      </c>
      <c r="J29" s="72">
        <f t="shared" ca="1" si="1"/>
        <v>0</v>
      </c>
      <c r="K29" s="71">
        <v>50</v>
      </c>
      <c r="L29" s="73" t="str">
        <f t="shared" si="2"/>
        <v>Non appliqué</v>
      </c>
      <c r="M29" s="73">
        <f t="shared" ca="1" si="3"/>
        <v>0.5</v>
      </c>
      <c r="N29" s="73" t="str">
        <f>IF(ISNUMBER(F29),F29*L29,F29)</f>
        <v>Non appliqué</v>
      </c>
      <c r="O29" s="73" t="str">
        <f t="shared" si="4"/>
        <v>Non appliqué</v>
      </c>
      <c r="P29" s="73">
        <f ca="1">IF(ISNUMBER(J29),J29*M29,J29)</f>
        <v>0</v>
      </c>
      <c r="Q29" s="73">
        <f t="shared" ca="1" si="5"/>
        <v>0</v>
      </c>
      <c r="R29" s="77"/>
      <c r="S29" s="75"/>
      <c r="T29" s="75"/>
      <c r="U29" s="75"/>
      <c r="V29" s="76"/>
      <c r="W29" s="76"/>
      <c r="X29" s="76"/>
      <c r="Y29" s="134">
        <f>Y27+1</f>
        <v>20</v>
      </c>
    </row>
    <row r="30" spans="1:25" x14ac:dyDescent="0.3">
      <c r="A30" s="64" t="s">
        <v>692</v>
      </c>
      <c r="B30" s="65" t="s">
        <v>685</v>
      </c>
      <c r="C30" s="71">
        <f>SUMIFS(Grille!R:R,Grille!A:A,Grille_HT4!A30,Grille!C:C,Grille_HT4!B30,Grille!H:H,"Majeur")</f>
        <v>0</v>
      </c>
      <c r="D30" s="71">
        <f>SUMIFS(Grille!Q:Q,Grille!A:A,Grille_HT4!A30,Grille!C:C,Grille_HT4!B30,Grille!H:H,"Majeur")</f>
        <v>0</v>
      </c>
      <c r="E30" s="71">
        <f>SUMIFS(Grille!N:N,Grille!A:A,Grille_HT4!A30,Grille!C:C,Grille_HT4!B30,Grille!H:H,"Majeur")</f>
        <v>0</v>
      </c>
      <c r="F30" s="72" t="str">
        <f t="shared" si="0"/>
        <v>Non appliqué</v>
      </c>
      <c r="G30" s="71">
        <f>SUMIFS(Grille!R:R,Grille!A:A,Grille_HT4!A30,Grille!C:C,Grille_HT4!B30,Grille!H:H,"Mineur")</f>
        <v>24</v>
      </c>
      <c r="H30" s="71">
        <f ca="1">SUMIFS(Grille!Q:Q,Grille!A:A,Grille_HT4!A30,Grille!C:C,Grille_HT4!B30,Grille!H:H,"Mineur")</f>
        <v>24</v>
      </c>
      <c r="I30" s="71">
        <f ca="1">SUMIFS(Grille!N:N,Grille!A:A,Grille_HT4!A30,Grille!C:C,Grille_HT4!B30,Grille!H:H,"Mineur")</f>
        <v>0</v>
      </c>
      <c r="J30" s="72">
        <f t="shared" ca="1" si="1"/>
        <v>0</v>
      </c>
      <c r="K30" s="71">
        <v>50</v>
      </c>
      <c r="L30" s="73" t="str">
        <f t="shared" si="2"/>
        <v>Non appliqué</v>
      </c>
      <c r="M30" s="73">
        <f t="shared" ca="1" si="3"/>
        <v>0.5</v>
      </c>
      <c r="N30" s="73" t="str">
        <f>IF(ISNUMBER(F30),F30*L30,F30)</f>
        <v>Non appliqué</v>
      </c>
      <c r="O30" s="73" t="str">
        <f t="shared" si="4"/>
        <v>Non appliqué</v>
      </c>
      <c r="P30" s="73">
        <f ca="1">IF(ISNUMBER(J30),J30*M30,J30)</f>
        <v>0</v>
      </c>
      <c r="Q30" s="73">
        <f t="shared" ca="1" si="5"/>
        <v>0</v>
      </c>
      <c r="R30" s="77"/>
      <c r="S30" s="75"/>
      <c r="T30" s="75"/>
      <c r="U30" s="75"/>
      <c r="V30" s="76"/>
      <c r="W30" s="76"/>
      <c r="X30" s="76"/>
      <c r="Y30" s="134">
        <f t="shared" si="8"/>
        <v>21</v>
      </c>
    </row>
    <row r="31" spans="1:25" x14ac:dyDescent="0.3">
      <c r="A31" s="4"/>
      <c r="B31" s="4" t="str">
        <f>A32</f>
        <v>Bar</v>
      </c>
      <c r="C31" s="5"/>
      <c r="D31" s="5"/>
      <c r="E31" s="5"/>
      <c r="F31" s="5"/>
      <c r="G31" s="9"/>
      <c r="H31" s="9"/>
      <c r="I31" s="9"/>
      <c r="J31" s="6"/>
      <c r="K31" s="5"/>
      <c r="L31" s="5"/>
      <c r="M31" s="5"/>
      <c r="N31" s="6"/>
      <c r="O31" s="6"/>
      <c r="P31" s="6"/>
      <c r="Q31" s="6"/>
      <c r="R31" s="70">
        <v>5</v>
      </c>
      <c r="S31" s="7">
        <f t="shared" ca="1" si="6"/>
        <v>0.05</v>
      </c>
      <c r="T31" s="7">
        <f ca="1">IFERROR(S31/SUM(S:S),S31)</f>
        <v>6.0975609756097567E-2</v>
      </c>
      <c r="U31" s="7">
        <f ca="1">IFERROR(T31*O32,T31)</f>
        <v>0</v>
      </c>
      <c r="V31" s="7">
        <f t="shared" ca="1" si="7"/>
        <v>0.05</v>
      </c>
      <c r="W31" s="7">
        <f ca="1">IFERROR(V31/SUM(V:V),V31)</f>
        <v>5.0505050505050511E-2</v>
      </c>
      <c r="X31" s="7">
        <f ca="1">IFERROR(W31*Q32,W31)</f>
        <v>0</v>
      </c>
    </row>
    <row r="32" spans="1:25" x14ac:dyDescent="0.3">
      <c r="A32" s="64" t="s">
        <v>694</v>
      </c>
      <c r="B32" s="64" t="s">
        <v>682</v>
      </c>
      <c r="C32" s="71">
        <f>SUMIFS(Grille!R:R,Grille!A:A,Grille_HT4!A32,Grille!C:C,Grille_HT4!B32,Grille!H:H,"Majeur")</f>
        <v>13</v>
      </c>
      <c r="D32" s="71">
        <f ca="1">SUMIFS(Grille!Q:Q,Grille!A:A,Grille_HT4!A32,Grille!C:C,Grille_HT4!B32,Grille!H:H,"Majeur")</f>
        <v>13</v>
      </c>
      <c r="E32" s="71">
        <f ca="1">SUMIFS(Grille!N:N,Grille!A:A,Grille_HT4!A32,Grille!C:C,Grille_HT4!B32,Grille!H:H,"Majeur")</f>
        <v>0</v>
      </c>
      <c r="F32" s="72">
        <f t="shared" ca="1" si="0"/>
        <v>0</v>
      </c>
      <c r="G32" s="71">
        <f>SUMIFS(Grille!R:R,Grille!A:A,Grille_HT4!A32,Grille!C:C,Grille_HT4!B32,Grille!H:H,"Mineur")</f>
        <v>3</v>
      </c>
      <c r="H32" s="71">
        <f ca="1">SUMIFS(Grille!Q:Q,Grille!A:A,Grille_HT4!A32,Grille!C:C,Grille_HT4!B32,Grille!H:H,"Mineur")</f>
        <v>3</v>
      </c>
      <c r="I32" s="71">
        <f ca="1">SUMIFS(Grille!N:N,Grille!A:A,Grille_HT4!A32,Grille!C:C,Grille_HT4!B32,Grille!H:H,"Mineur")</f>
        <v>0</v>
      </c>
      <c r="J32" s="72">
        <f t="shared" ca="1" si="1"/>
        <v>0</v>
      </c>
      <c r="K32" s="71">
        <v>50</v>
      </c>
      <c r="L32" s="73">
        <f t="shared" ca="1" si="2"/>
        <v>0.5</v>
      </c>
      <c r="M32" s="73">
        <f t="shared" ca="1" si="3"/>
        <v>0.5</v>
      </c>
      <c r="N32" s="73">
        <f ca="1">IF(ISNUMBER(F32),F32*L32,F32)</f>
        <v>0</v>
      </c>
      <c r="O32" s="73">
        <f t="shared" ca="1" si="4"/>
        <v>0</v>
      </c>
      <c r="P32" s="73">
        <f ca="1">IF(ISNUMBER(J32),J32*M32,J32)</f>
        <v>0</v>
      </c>
      <c r="Q32" s="73">
        <f t="shared" ca="1" si="5"/>
        <v>0</v>
      </c>
      <c r="R32" s="77"/>
      <c r="S32" s="75"/>
      <c r="T32" s="75"/>
      <c r="U32" s="75"/>
      <c r="V32" s="76"/>
      <c r="W32" s="76"/>
      <c r="X32" s="76"/>
      <c r="Y32" s="134">
        <f>Y30+1</f>
        <v>22</v>
      </c>
    </row>
    <row r="33" spans="1:25" x14ac:dyDescent="0.3">
      <c r="A33" s="64" t="s">
        <v>694</v>
      </c>
      <c r="B33" s="64" t="s">
        <v>685</v>
      </c>
      <c r="C33" s="71">
        <f>SUMIFS(Grille!R:R,Grille!A:A,Grille_HT4!A33,Grille!C:C,Grille_HT4!B33,Grille!H:H,"Majeur")</f>
        <v>37</v>
      </c>
      <c r="D33" s="71">
        <f ca="1">SUMIFS(Grille!Q:Q,Grille!A:A,Grille_HT4!A33,Grille!C:C,Grille_HT4!B33,Grille!H:H,"Majeur")</f>
        <v>37</v>
      </c>
      <c r="E33" s="71">
        <f ca="1">SUMIFS(Grille!N:N,Grille!A:A,Grille_HT4!A33,Grille!C:C,Grille_HT4!B33,Grille!H:H,"Majeur")</f>
        <v>0</v>
      </c>
      <c r="F33" s="72">
        <f t="shared" ca="1" si="0"/>
        <v>0</v>
      </c>
      <c r="G33" s="71">
        <f>SUMIFS(Grille!R:R,Grille!A:A,Grille_HT4!A33,Grille!C:C,Grille_HT4!B33,Grille!H:H,"Mineur")</f>
        <v>4</v>
      </c>
      <c r="H33" s="71">
        <f ca="1">SUMIFS(Grille!Q:Q,Grille!A:A,Grille_HT4!A33,Grille!C:C,Grille_HT4!B33,Grille!H:H,"Mineur")</f>
        <v>4</v>
      </c>
      <c r="I33" s="71">
        <f ca="1">SUMIFS(Grille!N:N,Grille!A:A,Grille_HT4!A33,Grille!C:C,Grille_HT4!B33,Grille!H:H,"Mineur")</f>
        <v>0</v>
      </c>
      <c r="J33" s="72">
        <f t="shared" ca="1" si="1"/>
        <v>0</v>
      </c>
      <c r="K33" s="71">
        <v>50</v>
      </c>
      <c r="L33" s="73">
        <f t="shared" ca="1" si="2"/>
        <v>0.5</v>
      </c>
      <c r="M33" s="73">
        <f t="shared" ca="1" si="3"/>
        <v>0.5</v>
      </c>
      <c r="N33" s="73">
        <f ca="1">IF(ISNUMBER(F33),F33*L33,F33)</f>
        <v>0</v>
      </c>
      <c r="O33" s="73">
        <f t="shared" ca="1" si="4"/>
        <v>0</v>
      </c>
      <c r="P33" s="73">
        <f ca="1">IF(ISNUMBER(J33),J33*M33,J33)</f>
        <v>0</v>
      </c>
      <c r="Q33" s="73">
        <f t="shared" ca="1" si="5"/>
        <v>0</v>
      </c>
      <c r="R33" s="77"/>
      <c r="S33" s="75"/>
      <c r="T33" s="75"/>
      <c r="U33" s="75"/>
      <c r="V33" s="76"/>
      <c r="W33" s="76"/>
      <c r="X33" s="76"/>
      <c r="Y33" s="134">
        <f t="shared" si="8"/>
        <v>23</v>
      </c>
    </row>
    <row r="34" spans="1:25" ht="25.2" x14ac:dyDescent="0.3">
      <c r="A34" s="4"/>
      <c r="B34" s="4" t="s">
        <v>699</v>
      </c>
      <c r="C34" s="5"/>
      <c r="D34" s="5"/>
      <c r="E34" s="5"/>
      <c r="F34" s="5"/>
      <c r="G34" s="9"/>
      <c r="H34" s="9"/>
      <c r="I34" s="9"/>
      <c r="J34" s="6"/>
      <c r="K34" s="5"/>
      <c r="L34" s="5"/>
      <c r="M34" s="5"/>
      <c r="N34" s="6"/>
      <c r="O34" s="6"/>
      <c r="P34" s="6"/>
      <c r="Q34" s="6"/>
      <c r="R34" s="70">
        <v>5</v>
      </c>
      <c r="S34" s="7" t="str">
        <f t="shared" si="6"/>
        <v>Non appliqué</v>
      </c>
      <c r="T34" s="7" t="str">
        <f ca="1">IFERROR(S34/SUM(S:S),S34)</f>
        <v>Non appliqué</v>
      </c>
      <c r="U34" s="7" t="str">
        <f ca="1">IFERROR(T34*O35,T34)</f>
        <v>Non appliqué</v>
      </c>
      <c r="V34" s="7">
        <f t="shared" ca="1" si="7"/>
        <v>0.05</v>
      </c>
      <c r="W34" s="7">
        <f ca="1">IFERROR(V34/SUM(V:V),V34)</f>
        <v>5.0505050505050511E-2</v>
      </c>
      <c r="X34" s="7">
        <f ca="1">IFERROR(W34*Q35,W34)</f>
        <v>0</v>
      </c>
    </row>
    <row r="35" spans="1:25" ht="25.2" x14ac:dyDescent="0.3">
      <c r="A35" s="64" t="s">
        <v>699</v>
      </c>
      <c r="B35" s="64" t="s">
        <v>701</v>
      </c>
      <c r="C35" s="71">
        <f>SUMIFS(Grille!R:R,Grille!A:A,Grille_HT4!A35,Grille!C:C,Grille_HT4!B35,Grille!H:H,"Majeur")</f>
        <v>0</v>
      </c>
      <c r="D35" s="71">
        <f>SUMIFS(Grille!Q:Q,Grille!A:A,Grille_HT4!A35,Grille!C:C,Grille_HT4!B35,Grille!H:H,"Majeur")</f>
        <v>0</v>
      </c>
      <c r="E35" s="71">
        <f>SUMIFS(Grille!N:N,Grille!A:A,Grille_HT4!A35,Grille!C:C,Grille_HT4!B35,Grille!H:H,"Majeur")</f>
        <v>0</v>
      </c>
      <c r="F35" s="72" t="str">
        <f t="shared" si="0"/>
        <v>Non appliqué</v>
      </c>
      <c r="G35" s="71">
        <f>SUMIFS(Grille!R:R,Grille!A:A,Grille_HT4!A35,Grille!C:C,Grille_HT4!B35,Grille!H:H,"Mineur")</f>
        <v>12</v>
      </c>
      <c r="H35" s="71">
        <f ca="1">SUMIFS(Grille!Q:Q,Grille!A:A,Grille_HT4!A35,Grille!C:C,Grille_HT4!B35,Grille!H:H,"Mineur")</f>
        <v>12</v>
      </c>
      <c r="I35" s="71">
        <f ca="1">SUMIFS(Grille!N:N,Grille!A:A,Grille_HT4!A35,Grille!C:C,Grille_HT4!B35,Grille!H:H,"Mineur")</f>
        <v>0</v>
      </c>
      <c r="J35" s="72">
        <f t="shared" ca="1" si="1"/>
        <v>0</v>
      </c>
      <c r="K35" s="71">
        <v>40</v>
      </c>
      <c r="L35" s="73" t="str">
        <f t="shared" si="2"/>
        <v>Non appliqué</v>
      </c>
      <c r="M35" s="73">
        <f t="shared" ca="1" si="3"/>
        <v>0.32520325203252032</v>
      </c>
      <c r="N35" s="73" t="str">
        <f>IF(ISNUMBER(F35),F35*L35,F35)</f>
        <v>Non appliqué</v>
      </c>
      <c r="O35" s="73" t="str">
        <f t="shared" si="4"/>
        <v>Non appliqué</v>
      </c>
      <c r="P35" s="73">
        <f ca="1">IF(ISNUMBER(J35),J35*M35,J35)</f>
        <v>0</v>
      </c>
      <c r="Q35" s="73">
        <f t="shared" ca="1" si="5"/>
        <v>0</v>
      </c>
      <c r="R35" s="77"/>
      <c r="S35" s="75"/>
      <c r="T35" s="75"/>
      <c r="U35" s="75"/>
      <c r="V35" s="76"/>
      <c r="W35" s="76"/>
      <c r="X35" s="76"/>
      <c r="Y35" s="134">
        <f>Y33+1</f>
        <v>24</v>
      </c>
    </row>
    <row r="36" spans="1:25" ht="25.2" x14ac:dyDescent="0.3">
      <c r="A36" s="64" t="s">
        <v>699</v>
      </c>
      <c r="B36" s="64" t="s">
        <v>702</v>
      </c>
      <c r="C36" s="71">
        <f>SUMIFS(Grille!R:R,Grille!A:A,Grille_HT4!A36,Grille!C:C,Grille_HT4!B36,Grille!H:H,"Majeur")</f>
        <v>0</v>
      </c>
      <c r="D36" s="71">
        <f>SUMIFS(Grille!Q:Q,Grille!A:A,Grille_HT4!A36,Grille!C:C,Grille_HT4!B36,Grille!H:H,"Majeur")</f>
        <v>0</v>
      </c>
      <c r="E36" s="71">
        <f>SUMIFS(Grille!N:N,Grille!A:A,Grille_HT4!A36,Grille!C:C,Grille_HT4!B36,Grille!H:H,"Majeur")</f>
        <v>0</v>
      </c>
      <c r="F36" s="72" t="str">
        <f t="shared" si="0"/>
        <v>Non appliqué</v>
      </c>
      <c r="G36" s="71">
        <f>SUMIFS(Grille!R:R,Grille!A:A,Grille_HT4!A36,Grille!C:C,Grille_HT4!B36,Grille!H:H,"Mineur")</f>
        <v>12</v>
      </c>
      <c r="H36" s="71">
        <f ca="1">SUMIFS(Grille!Q:Q,Grille!A:A,Grille_HT4!A36,Grille!C:C,Grille_HT4!B36,Grille!H:H,"Mineur")</f>
        <v>12</v>
      </c>
      <c r="I36" s="71">
        <f ca="1">SUMIFS(Grille!N:N,Grille!A:A,Grille_HT4!A36,Grille!C:C,Grille_HT4!B36,Grille!H:H,"Mineur")</f>
        <v>0</v>
      </c>
      <c r="J36" s="72">
        <f t="shared" ca="1" si="1"/>
        <v>0</v>
      </c>
      <c r="K36" s="71">
        <v>41</v>
      </c>
      <c r="L36" s="73" t="str">
        <f t="shared" si="2"/>
        <v>Non appliqué</v>
      </c>
      <c r="M36" s="73">
        <f t="shared" ca="1" si="3"/>
        <v>0.33333333333333331</v>
      </c>
      <c r="N36" s="73" t="str">
        <f>IF(ISNUMBER(F36),F36*L36,F36)</f>
        <v>Non appliqué</v>
      </c>
      <c r="O36" s="73" t="str">
        <f t="shared" si="4"/>
        <v>Non appliqué</v>
      </c>
      <c r="P36" s="73">
        <f ca="1">IF(ISNUMBER(J36),J36*M36,J36)</f>
        <v>0</v>
      </c>
      <c r="Q36" s="73">
        <f t="shared" ca="1" si="5"/>
        <v>0</v>
      </c>
      <c r="R36" s="77"/>
      <c r="S36" s="75"/>
      <c r="T36" s="75"/>
      <c r="U36" s="75"/>
      <c r="V36" s="76"/>
      <c r="W36" s="76"/>
      <c r="X36" s="76"/>
      <c r="Y36" s="134">
        <f t="shared" si="8"/>
        <v>25</v>
      </c>
    </row>
    <row r="37" spans="1:25" ht="25.2" x14ac:dyDescent="0.3">
      <c r="A37" s="64" t="s">
        <v>699</v>
      </c>
      <c r="B37" s="64" t="s">
        <v>703</v>
      </c>
      <c r="C37" s="71">
        <f>SUMIFS(Grille!R:R,Grille!A:A,Grille_HT4!A37,Grille!C:C,Grille_HT4!B37,Grille!H:H,"Majeur")</f>
        <v>0</v>
      </c>
      <c r="D37" s="71">
        <f>SUMIFS(Grille!Q:Q,Grille!A:A,Grille_HT4!A37,Grille!C:C,Grille_HT4!B37,Grille!H:H,"Majeur")</f>
        <v>0</v>
      </c>
      <c r="E37" s="71">
        <f>SUMIFS(Grille!N:N,Grille!A:A,Grille_HT4!A37,Grille!C:C,Grille_HT4!B37,Grille!H:H,"Majeur")</f>
        <v>0</v>
      </c>
      <c r="F37" s="72" t="str">
        <f t="shared" si="0"/>
        <v>Non appliqué</v>
      </c>
      <c r="G37" s="71">
        <f>SUMIFS(Grille!R:R,Grille!A:A,Grille_HT4!A37,Grille!C:C,Grille_HT4!B37,Grille!H:H,"Mineur")</f>
        <v>14</v>
      </c>
      <c r="H37" s="71">
        <f ca="1">SUMIFS(Grille!Q:Q,Grille!A:A,Grille_HT4!A37,Grille!C:C,Grille_HT4!B37,Grille!H:H,"Mineur")</f>
        <v>14</v>
      </c>
      <c r="I37" s="71">
        <f ca="1">SUMIFS(Grille!N:N,Grille!A:A,Grille_HT4!A37,Grille!C:C,Grille_HT4!B37,Grille!H:H,"Mineur")</f>
        <v>0</v>
      </c>
      <c r="J37" s="72">
        <f t="shared" ca="1" si="1"/>
        <v>0</v>
      </c>
      <c r="K37" s="71">
        <v>42</v>
      </c>
      <c r="L37" s="73" t="str">
        <f t="shared" si="2"/>
        <v>Non appliqué</v>
      </c>
      <c r="M37" s="73">
        <f t="shared" ca="1" si="3"/>
        <v>0.34146341463414637</v>
      </c>
      <c r="N37" s="73" t="str">
        <f>IF(ISNUMBER(F37),F37*L37,F37)</f>
        <v>Non appliqué</v>
      </c>
      <c r="O37" s="73" t="str">
        <f t="shared" si="4"/>
        <v>Non appliqué</v>
      </c>
      <c r="P37" s="73">
        <f ca="1">IF(ISNUMBER(J37),J37*M37,J37)</f>
        <v>0</v>
      </c>
      <c r="Q37" s="73">
        <f t="shared" ca="1" si="5"/>
        <v>0</v>
      </c>
      <c r="R37" s="77"/>
      <c r="S37" s="75"/>
      <c r="T37" s="75"/>
      <c r="U37" s="75"/>
      <c r="V37" s="76"/>
      <c r="W37" s="76"/>
      <c r="X37" s="76"/>
      <c r="Y37" s="134">
        <f t="shared" si="8"/>
        <v>26</v>
      </c>
    </row>
    <row r="38" spans="1:25" x14ac:dyDescent="0.3">
      <c r="A38" s="4"/>
      <c r="B38" s="4" t="str">
        <f>A39</f>
        <v>Bien-être et fitness</v>
      </c>
      <c r="C38" s="5"/>
      <c r="D38" s="5"/>
      <c r="E38" s="5"/>
      <c r="F38" s="5"/>
      <c r="G38" s="9"/>
      <c r="H38" s="9"/>
      <c r="I38" s="9"/>
      <c r="J38" s="6"/>
      <c r="K38" s="5"/>
      <c r="L38" s="5"/>
      <c r="M38" s="5"/>
      <c r="N38" s="6"/>
      <c r="O38" s="6"/>
      <c r="P38" s="6"/>
      <c r="Q38" s="6"/>
      <c r="R38" s="70">
        <v>5</v>
      </c>
      <c r="S38" s="7">
        <f t="shared" ca="1" si="6"/>
        <v>0.05</v>
      </c>
      <c r="T38" s="7">
        <f ca="1">IFERROR(S38/SUM(S:S),S38)</f>
        <v>6.0975609756097567E-2</v>
      </c>
      <c r="U38" s="7">
        <f ca="1">IFERROR(T38*O39,T38)</f>
        <v>0</v>
      </c>
      <c r="V38" s="7">
        <f t="shared" ca="1" si="7"/>
        <v>0.05</v>
      </c>
      <c r="W38" s="7">
        <f ca="1">IFERROR(V38/SUM(V:V),V38)</f>
        <v>5.0505050505050511E-2</v>
      </c>
      <c r="X38" s="7">
        <f ca="1">IFERROR(W38*Q39,W38)</f>
        <v>0</v>
      </c>
    </row>
    <row r="39" spans="1:25" x14ac:dyDescent="0.3">
      <c r="A39" s="64" t="s">
        <v>704</v>
      </c>
      <c r="B39" s="64" t="s">
        <v>706</v>
      </c>
      <c r="C39" s="71">
        <f>SUMIFS(Grille!R:R,Grille!A:A,Grille_HT4!A39,Grille!C:C,Grille_HT4!B39,Grille!H:H,"Majeur")</f>
        <v>0</v>
      </c>
      <c r="D39" s="71">
        <f>SUMIFS(Grille!Q:Q,Grille!A:A,Grille_HT4!A39,Grille!C:C,Grille_HT4!B39,Grille!H:H,"Majeur")</f>
        <v>0</v>
      </c>
      <c r="E39" s="71">
        <f>SUMIFS(Grille!N:N,Grille!A:A,Grille_HT4!A39,Grille!C:C,Grille_HT4!B39,Grille!H:H,"Majeur")</f>
        <v>0</v>
      </c>
      <c r="F39" s="72" t="str">
        <f t="shared" si="0"/>
        <v>Non appliqué</v>
      </c>
      <c r="G39" s="71">
        <f>SUMIFS(Grille!R:R,Grille!A:A,Grille_HT4!A39,Grille!C:C,Grille_HT4!B39,Grille!H:H,"Mineur")</f>
        <v>7</v>
      </c>
      <c r="H39" s="71">
        <f ca="1">SUMIFS(Grille!Q:Q,Grille!A:A,Grille_HT4!A39,Grille!C:C,Grille_HT4!B39,Grille!H:H,"Mineur")</f>
        <v>7</v>
      </c>
      <c r="I39" s="71">
        <f ca="1">SUMIFS(Grille!N:N,Grille!A:A,Grille_HT4!A39,Grille!C:C,Grille_HT4!B39,Grille!H:H,"Mineur")</f>
        <v>0</v>
      </c>
      <c r="J39" s="72">
        <f t="shared" ca="1" si="1"/>
        <v>0</v>
      </c>
      <c r="K39" s="71">
        <v>10</v>
      </c>
      <c r="L39" s="73" t="str">
        <f t="shared" si="2"/>
        <v>Non appliqué</v>
      </c>
      <c r="M39" s="73">
        <f t="shared" ca="1" si="3"/>
        <v>0.1</v>
      </c>
      <c r="N39" s="73" t="str">
        <f t="shared" ref="N39:N46" si="9">IF(ISNUMBER(F39),F39*L39,F39)</f>
        <v>Non appliqué</v>
      </c>
      <c r="O39" s="73">
        <f t="shared" ca="1" si="4"/>
        <v>0</v>
      </c>
      <c r="P39" s="73">
        <f t="shared" ref="P39:P46" ca="1" si="10">IF(ISNUMBER(J39),J39*M39,J39)</f>
        <v>0</v>
      </c>
      <c r="Q39" s="73">
        <f t="shared" ca="1" si="5"/>
        <v>0</v>
      </c>
      <c r="R39" s="77"/>
      <c r="S39" s="75"/>
      <c r="T39" s="75"/>
      <c r="U39" s="75"/>
      <c r="V39" s="76"/>
      <c r="W39" s="76"/>
      <c r="X39" s="76"/>
      <c r="Y39" s="134">
        <f>Y37+1</f>
        <v>27</v>
      </c>
    </row>
    <row r="40" spans="1:25" x14ac:dyDescent="0.3">
      <c r="A40" s="64" t="s">
        <v>704</v>
      </c>
      <c r="B40" s="64" t="s">
        <v>707</v>
      </c>
      <c r="C40" s="71">
        <f>SUMIFS(Grille!R:R,Grille!A:A,Grille_HT4!A40,Grille!C:C,Grille_HT4!B40,Grille!H:H,"Majeur")</f>
        <v>0</v>
      </c>
      <c r="D40" s="71">
        <f>SUMIFS(Grille!Q:Q,Grille!A:A,Grille_HT4!A40,Grille!C:C,Grille_HT4!B40,Grille!H:H,"Majeur")</f>
        <v>0</v>
      </c>
      <c r="E40" s="71">
        <f>SUMIFS(Grille!N:N,Grille!A:A,Grille_HT4!A40,Grille!C:C,Grille_HT4!B40,Grille!H:H,"Majeur")</f>
        <v>0</v>
      </c>
      <c r="F40" s="72" t="str">
        <f t="shared" si="0"/>
        <v>Non appliqué</v>
      </c>
      <c r="G40" s="71">
        <f>SUMIFS(Grille!R:R,Grille!A:A,Grille_HT4!A40,Grille!C:C,Grille_HT4!B40,Grille!H:H,"Mineur")</f>
        <v>8</v>
      </c>
      <c r="H40" s="71">
        <f ca="1">SUMIFS(Grille!Q:Q,Grille!A:A,Grille_HT4!A40,Grille!C:C,Grille_HT4!B40,Grille!H:H,"Mineur")</f>
        <v>8</v>
      </c>
      <c r="I40" s="71">
        <f ca="1">SUMIFS(Grille!N:N,Grille!A:A,Grille_HT4!A40,Grille!C:C,Grille_HT4!B40,Grille!H:H,"Mineur")</f>
        <v>0</v>
      </c>
      <c r="J40" s="72">
        <f t="shared" ca="1" si="1"/>
        <v>0</v>
      </c>
      <c r="K40" s="71">
        <v>10</v>
      </c>
      <c r="L40" s="73" t="str">
        <f t="shared" si="2"/>
        <v>Non appliqué</v>
      </c>
      <c r="M40" s="73">
        <f t="shared" ca="1" si="3"/>
        <v>0.1</v>
      </c>
      <c r="N40" s="73" t="str">
        <f t="shared" si="9"/>
        <v>Non appliqué</v>
      </c>
      <c r="O40" s="73">
        <f t="shared" ca="1" si="4"/>
        <v>0</v>
      </c>
      <c r="P40" s="73">
        <f t="shared" ca="1" si="10"/>
        <v>0</v>
      </c>
      <c r="Q40" s="73">
        <f t="shared" ca="1" si="5"/>
        <v>0</v>
      </c>
      <c r="R40" s="77"/>
      <c r="S40" s="75"/>
      <c r="T40" s="75"/>
      <c r="U40" s="75"/>
      <c r="V40" s="76"/>
      <c r="W40" s="76"/>
      <c r="X40" s="76"/>
      <c r="Y40" s="134">
        <f t="shared" si="8"/>
        <v>28</v>
      </c>
    </row>
    <row r="41" spans="1:25" x14ac:dyDescent="0.3">
      <c r="A41" s="64" t="s">
        <v>704</v>
      </c>
      <c r="B41" s="64" t="s">
        <v>709</v>
      </c>
      <c r="C41" s="71">
        <f>SUMIFS(Grille!R:R,Grille!A:A,Grille_HT4!A41,Grille!C:C,Grille_HT4!B41,Grille!H:H,"Majeur")</f>
        <v>0</v>
      </c>
      <c r="D41" s="71">
        <f>SUMIFS(Grille!Q:Q,Grille!A:A,Grille_HT4!A41,Grille!C:C,Grille_HT4!B41,Grille!H:H,"Majeur")</f>
        <v>0</v>
      </c>
      <c r="E41" s="71">
        <f>SUMIFS(Grille!N:N,Grille!A:A,Grille_HT4!A41,Grille!C:C,Grille_HT4!B41,Grille!H:H,"Majeur")</f>
        <v>0</v>
      </c>
      <c r="F41" s="72" t="str">
        <f t="shared" si="0"/>
        <v>Non appliqué</v>
      </c>
      <c r="G41" s="71">
        <f>SUMIFS(Grille!R:R,Grille!A:A,Grille_HT4!A41,Grille!C:C,Grille_HT4!B41,Grille!H:H,"Mineur")</f>
        <v>8</v>
      </c>
      <c r="H41" s="71">
        <f ca="1">SUMIFS(Grille!Q:Q,Grille!A:A,Grille_HT4!A41,Grille!C:C,Grille_HT4!B41,Grille!H:H,"Mineur")</f>
        <v>8</v>
      </c>
      <c r="I41" s="71">
        <f ca="1">SUMIFS(Grille!N:N,Grille!A:A,Grille_HT4!A41,Grille!C:C,Grille_HT4!B41,Grille!H:H,"Mineur")</f>
        <v>0</v>
      </c>
      <c r="J41" s="72">
        <f t="shared" ca="1" si="1"/>
        <v>0</v>
      </c>
      <c r="K41" s="71">
        <v>10</v>
      </c>
      <c r="L41" s="73" t="str">
        <f t="shared" si="2"/>
        <v>Non appliqué</v>
      </c>
      <c r="M41" s="73">
        <f t="shared" ca="1" si="3"/>
        <v>0.1</v>
      </c>
      <c r="N41" s="73" t="str">
        <f t="shared" si="9"/>
        <v>Non appliqué</v>
      </c>
      <c r="O41" s="73">
        <f t="shared" ca="1" si="4"/>
        <v>0</v>
      </c>
      <c r="P41" s="73">
        <f t="shared" ca="1" si="10"/>
        <v>0</v>
      </c>
      <c r="Q41" s="73">
        <f t="shared" ca="1" si="5"/>
        <v>0</v>
      </c>
      <c r="R41" s="77"/>
      <c r="S41" s="75"/>
      <c r="T41" s="75"/>
      <c r="U41" s="75"/>
      <c r="V41" s="76"/>
      <c r="W41" s="76"/>
      <c r="X41" s="76"/>
      <c r="Y41" s="134">
        <f t="shared" si="8"/>
        <v>29</v>
      </c>
    </row>
    <row r="42" spans="1:25" x14ac:dyDescent="0.3">
      <c r="A42" s="64" t="s">
        <v>704</v>
      </c>
      <c r="B42" s="64" t="s">
        <v>710</v>
      </c>
      <c r="C42" s="71">
        <f>SUMIFS(Grille!R:R,Grille!A:A,Grille_HT4!A42,Grille!C:C,Grille_HT4!B42,Grille!H:H,"Majeur")</f>
        <v>0</v>
      </c>
      <c r="D42" s="71">
        <f>SUMIFS(Grille!Q:Q,Grille!A:A,Grille_HT4!A42,Grille!C:C,Grille_HT4!B42,Grille!H:H,"Majeur")</f>
        <v>0</v>
      </c>
      <c r="E42" s="71">
        <f>SUMIFS(Grille!N:N,Grille!A:A,Grille_HT4!A42,Grille!C:C,Grille_HT4!B42,Grille!H:H,"Majeur")</f>
        <v>0</v>
      </c>
      <c r="F42" s="72" t="str">
        <f t="shared" si="0"/>
        <v>Non appliqué</v>
      </c>
      <c r="G42" s="71">
        <f>SUMIFS(Grille!R:R,Grille!A:A,Grille_HT4!A42,Grille!C:C,Grille_HT4!B42,Grille!H:H,"Mineur")</f>
        <v>11</v>
      </c>
      <c r="H42" s="71">
        <f ca="1">SUMIFS(Grille!Q:Q,Grille!A:A,Grille_HT4!A42,Grille!C:C,Grille_HT4!B42,Grille!H:H,"Mineur")</f>
        <v>11</v>
      </c>
      <c r="I42" s="71">
        <f ca="1">SUMIFS(Grille!N:N,Grille!A:A,Grille_HT4!A42,Grille!C:C,Grille_HT4!B42,Grille!H:H,"Mineur")</f>
        <v>0</v>
      </c>
      <c r="J42" s="72">
        <f t="shared" ca="1" si="1"/>
        <v>0</v>
      </c>
      <c r="K42" s="71">
        <v>15</v>
      </c>
      <c r="L42" s="73" t="str">
        <f t="shared" si="2"/>
        <v>Non appliqué</v>
      </c>
      <c r="M42" s="73">
        <f t="shared" ca="1" si="3"/>
        <v>0.15</v>
      </c>
      <c r="N42" s="73" t="str">
        <f t="shared" si="9"/>
        <v>Non appliqué</v>
      </c>
      <c r="O42" s="73">
        <f t="shared" ca="1" si="4"/>
        <v>0</v>
      </c>
      <c r="P42" s="73">
        <f t="shared" ca="1" si="10"/>
        <v>0</v>
      </c>
      <c r="Q42" s="73">
        <f t="shared" ca="1" si="5"/>
        <v>0</v>
      </c>
      <c r="R42" s="77"/>
      <c r="S42" s="75"/>
      <c r="T42" s="75"/>
      <c r="U42" s="75"/>
      <c r="V42" s="76"/>
      <c r="W42" s="76"/>
      <c r="X42" s="76"/>
      <c r="Y42" s="134">
        <f t="shared" si="8"/>
        <v>30</v>
      </c>
    </row>
    <row r="43" spans="1:25" x14ac:dyDescent="0.3">
      <c r="A43" s="64" t="s">
        <v>704</v>
      </c>
      <c r="B43" s="64" t="s">
        <v>712</v>
      </c>
      <c r="C43" s="71">
        <f>SUMIFS(Grille!R:R,Grille!A:A,Grille_HT4!A43,Grille!C:C,Grille_HT4!B43,Grille!H:H,"Majeur")</f>
        <v>0</v>
      </c>
      <c r="D43" s="71">
        <f>SUMIFS(Grille!Q:Q,Grille!A:A,Grille_HT4!A43,Grille!C:C,Grille_HT4!B43,Grille!H:H,"Majeur")</f>
        <v>0</v>
      </c>
      <c r="E43" s="71">
        <f>SUMIFS(Grille!N:N,Grille!A:A,Grille_HT4!A43,Grille!C:C,Grille_HT4!B43,Grille!H:H,"Majeur")</f>
        <v>0</v>
      </c>
      <c r="F43" s="72" t="str">
        <f t="shared" si="0"/>
        <v>Non appliqué</v>
      </c>
      <c r="G43" s="71">
        <f>SUMIFS(Grille!R:R,Grille!A:A,Grille_HT4!A43,Grille!C:C,Grille_HT4!B43,Grille!H:H,"Mineur")</f>
        <v>8</v>
      </c>
      <c r="H43" s="71">
        <f ca="1">SUMIFS(Grille!Q:Q,Grille!A:A,Grille_HT4!A43,Grille!C:C,Grille_HT4!B43,Grille!H:H,"Mineur")</f>
        <v>8</v>
      </c>
      <c r="I43" s="71">
        <f ca="1">SUMIFS(Grille!N:N,Grille!A:A,Grille_HT4!A43,Grille!C:C,Grille_HT4!B43,Grille!H:H,"Mineur")</f>
        <v>0</v>
      </c>
      <c r="J43" s="72">
        <f t="shared" ca="1" si="1"/>
        <v>0</v>
      </c>
      <c r="K43" s="71">
        <v>5</v>
      </c>
      <c r="L43" s="73" t="str">
        <f t="shared" si="2"/>
        <v>Non appliqué</v>
      </c>
      <c r="M43" s="73">
        <f t="shared" ca="1" si="3"/>
        <v>0.05</v>
      </c>
      <c r="N43" s="73" t="str">
        <f t="shared" si="9"/>
        <v>Non appliqué</v>
      </c>
      <c r="O43" s="73">
        <f t="shared" ca="1" si="4"/>
        <v>0</v>
      </c>
      <c r="P43" s="73">
        <f t="shared" ca="1" si="10"/>
        <v>0</v>
      </c>
      <c r="Q43" s="73">
        <f t="shared" ca="1" si="5"/>
        <v>0</v>
      </c>
      <c r="R43" s="77"/>
      <c r="S43" s="75"/>
      <c r="T43" s="75"/>
      <c r="U43" s="75"/>
      <c r="V43" s="76"/>
      <c r="W43" s="76"/>
      <c r="X43" s="76"/>
      <c r="Y43" s="134">
        <f t="shared" si="8"/>
        <v>31</v>
      </c>
    </row>
    <row r="44" spans="1:25" x14ac:dyDescent="0.3">
      <c r="A44" s="64" t="s">
        <v>704</v>
      </c>
      <c r="B44" s="64" t="s">
        <v>715</v>
      </c>
      <c r="C44" s="71">
        <f>SUMIFS(Grille!R:R,Grille!A:A,Grille_HT4!A44,Grille!C:C,Grille_HT4!B44,Grille!H:H,"Majeur")</f>
        <v>0</v>
      </c>
      <c r="D44" s="71">
        <f>SUMIFS(Grille!Q:Q,Grille!A:A,Grille_HT4!A44,Grille!C:C,Grille_HT4!B44,Grille!H:H,"Majeur")</f>
        <v>0</v>
      </c>
      <c r="E44" s="71">
        <f>SUMIFS(Grille!N:N,Grille!A:A,Grille_HT4!A44,Grille!C:C,Grille_HT4!B44,Grille!H:H,"Majeur")</f>
        <v>0</v>
      </c>
      <c r="F44" s="72" t="str">
        <f t="shared" si="0"/>
        <v>Non appliqué</v>
      </c>
      <c r="G44" s="71">
        <f>SUMIFS(Grille!R:R,Grille!A:A,Grille_HT4!A44,Grille!C:C,Grille_HT4!B44,Grille!H:H,"Mineur")</f>
        <v>11</v>
      </c>
      <c r="H44" s="71">
        <f ca="1">SUMIFS(Grille!Q:Q,Grille!A:A,Grille_HT4!A44,Grille!C:C,Grille_HT4!B44,Grille!H:H,"Mineur")</f>
        <v>11</v>
      </c>
      <c r="I44" s="71">
        <f ca="1">SUMIFS(Grille!N:N,Grille!A:A,Grille_HT4!A44,Grille!C:C,Grille_HT4!B44,Grille!H:H,"Mineur")</f>
        <v>0</v>
      </c>
      <c r="J44" s="72">
        <f t="shared" ca="1" si="1"/>
        <v>0</v>
      </c>
      <c r="K44" s="71">
        <v>10</v>
      </c>
      <c r="L44" s="73" t="str">
        <f t="shared" si="2"/>
        <v>Non appliqué</v>
      </c>
      <c r="M44" s="73">
        <f t="shared" ca="1" si="3"/>
        <v>0.1</v>
      </c>
      <c r="N44" s="73" t="str">
        <f t="shared" si="9"/>
        <v>Non appliqué</v>
      </c>
      <c r="O44" s="73">
        <f t="shared" ca="1" si="4"/>
        <v>0</v>
      </c>
      <c r="P44" s="73">
        <f t="shared" ca="1" si="10"/>
        <v>0</v>
      </c>
      <c r="Q44" s="73">
        <f t="shared" ca="1" si="5"/>
        <v>0</v>
      </c>
      <c r="R44" s="77"/>
      <c r="S44" s="75"/>
      <c r="T44" s="75"/>
      <c r="U44" s="75"/>
      <c r="V44" s="76"/>
      <c r="W44" s="76"/>
      <c r="X44" s="76"/>
      <c r="Y44" s="134">
        <f t="shared" si="8"/>
        <v>32</v>
      </c>
    </row>
    <row r="45" spans="1:25" x14ac:dyDescent="0.3">
      <c r="A45" s="64" t="s">
        <v>704</v>
      </c>
      <c r="B45" s="64" t="s">
        <v>717</v>
      </c>
      <c r="C45" s="71">
        <f>SUMIFS(Grille!R:R,Grille!A:A,Grille_HT4!A45,Grille!C:C,Grille_HT4!B45,Grille!H:H,"Majeur")</f>
        <v>17</v>
      </c>
      <c r="D45" s="71">
        <f ca="1">SUMIFS(Grille!Q:Q,Grille!A:A,Grille_HT4!A45,Grille!C:C,Grille_HT4!B45,Grille!H:H,"Majeur")</f>
        <v>17</v>
      </c>
      <c r="E45" s="71">
        <f ca="1">SUMIFS(Grille!N:N,Grille!A:A,Grille_HT4!A45,Grille!C:C,Grille_HT4!B45,Grille!H:H,"Majeur")</f>
        <v>0</v>
      </c>
      <c r="F45" s="72">
        <f t="shared" ca="1" si="0"/>
        <v>0</v>
      </c>
      <c r="G45" s="71">
        <f>SUMIFS(Grille!R:R,Grille!A:A,Grille_HT4!A45,Grille!C:C,Grille_HT4!B45,Grille!H:H,"Mineur")</f>
        <v>4</v>
      </c>
      <c r="H45" s="71">
        <f ca="1">SUMIFS(Grille!Q:Q,Grille!A:A,Grille_HT4!A45,Grille!C:C,Grille_HT4!B45,Grille!H:H,"Mineur")</f>
        <v>4</v>
      </c>
      <c r="I45" s="71">
        <f ca="1">SUMIFS(Grille!N:N,Grille!A:A,Grille_HT4!A45,Grille!C:C,Grille_HT4!B45,Grille!H:H,"Mineur")</f>
        <v>0</v>
      </c>
      <c r="J45" s="72">
        <f t="shared" ca="1" si="1"/>
        <v>0</v>
      </c>
      <c r="K45" s="71">
        <v>25</v>
      </c>
      <c r="L45" s="73">
        <f t="shared" ca="1" si="2"/>
        <v>0.625</v>
      </c>
      <c r="M45" s="73">
        <f t="shared" ca="1" si="3"/>
        <v>0.25</v>
      </c>
      <c r="N45" s="73">
        <f t="shared" ca="1" si="9"/>
        <v>0</v>
      </c>
      <c r="O45" s="73">
        <f t="shared" ca="1" si="4"/>
        <v>0</v>
      </c>
      <c r="P45" s="73">
        <f t="shared" ca="1" si="10"/>
        <v>0</v>
      </c>
      <c r="Q45" s="73">
        <f t="shared" ca="1" si="5"/>
        <v>0</v>
      </c>
      <c r="R45" s="77"/>
      <c r="S45" s="75"/>
      <c r="T45" s="75"/>
      <c r="U45" s="75"/>
      <c r="V45" s="76"/>
      <c r="W45" s="76"/>
      <c r="X45" s="76"/>
      <c r="Y45" s="134">
        <f t="shared" si="8"/>
        <v>33</v>
      </c>
    </row>
    <row r="46" spans="1:25" x14ac:dyDescent="0.3">
      <c r="A46" s="64" t="s">
        <v>704</v>
      </c>
      <c r="B46" s="64" t="s">
        <v>718</v>
      </c>
      <c r="C46" s="71">
        <f>SUMIFS(Grille!R:R,Grille!A:A,Grille_HT4!A46,Grille!C:C,Grille_HT4!B46,Grille!H:H,"Majeur")</f>
        <v>9</v>
      </c>
      <c r="D46" s="71">
        <f ca="1">SUMIFS(Grille!Q:Q,Grille!A:A,Grille_HT4!A46,Grille!C:C,Grille_HT4!B46,Grille!H:H,"Majeur")</f>
        <v>9</v>
      </c>
      <c r="E46" s="71">
        <f ca="1">SUMIFS(Grille!N:N,Grille!A:A,Grille_HT4!A46,Grille!C:C,Grille_HT4!B46,Grille!H:H,"Majeur")</f>
        <v>0</v>
      </c>
      <c r="F46" s="72">
        <f t="shared" ca="1" si="0"/>
        <v>0</v>
      </c>
      <c r="G46" s="71">
        <f>SUMIFS(Grille!R:R,Grille!A:A,Grille_HT4!A46,Grille!C:C,Grille_HT4!B46,Grille!H:H,"Mineur")</f>
        <v>9</v>
      </c>
      <c r="H46" s="71">
        <f ca="1">SUMIFS(Grille!Q:Q,Grille!A:A,Grille_HT4!A46,Grille!C:C,Grille_HT4!B46,Grille!H:H,"Mineur")</f>
        <v>9</v>
      </c>
      <c r="I46" s="71">
        <f ca="1">SUMIFS(Grille!N:N,Grille!A:A,Grille_HT4!A46,Grille!C:C,Grille_HT4!B46,Grille!H:H,"Mineur")</f>
        <v>0</v>
      </c>
      <c r="J46" s="72">
        <f t="shared" ca="1" si="1"/>
        <v>0</v>
      </c>
      <c r="K46" s="71">
        <v>15</v>
      </c>
      <c r="L46" s="73">
        <f t="shared" ca="1" si="2"/>
        <v>0.375</v>
      </c>
      <c r="M46" s="73">
        <f t="shared" ca="1" si="3"/>
        <v>0.15</v>
      </c>
      <c r="N46" s="73">
        <f t="shared" ca="1" si="9"/>
        <v>0</v>
      </c>
      <c r="O46" s="73">
        <f t="shared" ca="1" si="4"/>
        <v>0</v>
      </c>
      <c r="P46" s="73">
        <f t="shared" ca="1" si="10"/>
        <v>0</v>
      </c>
      <c r="Q46" s="73">
        <f t="shared" ca="1" si="5"/>
        <v>0</v>
      </c>
      <c r="R46" s="77"/>
      <c r="S46" s="75"/>
      <c r="T46" s="75"/>
      <c r="U46" s="75"/>
      <c r="V46" s="76"/>
      <c r="W46" s="76"/>
      <c r="X46" s="76"/>
      <c r="Y46" s="134">
        <f t="shared" si="8"/>
        <v>34</v>
      </c>
    </row>
    <row r="47" spans="1:25" ht="25.2" x14ac:dyDescent="0.3">
      <c r="A47" s="4"/>
      <c r="B47" s="4" t="str">
        <f>A48</f>
        <v>Piscine extérieure</v>
      </c>
      <c r="C47" s="5"/>
      <c r="D47" s="5"/>
      <c r="E47" s="5"/>
      <c r="F47" s="5"/>
      <c r="G47" s="9"/>
      <c r="H47" s="9"/>
      <c r="I47" s="9"/>
      <c r="J47" s="6"/>
      <c r="K47" s="5"/>
      <c r="L47" s="5"/>
      <c r="M47" s="5"/>
      <c r="N47" s="6"/>
      <c r="O47" s="6"/>
      <c r="P47" s="6"/>
      <c r="Q47" s="6"/>
      <c r="R47" s="70">
        <v>5</v>
      </c>
      <c r="S47" s="7" t="str">
        <f t="shared" si="6"/>
        <v>Non appliqué</v>
      </c>
      <c r="T47" s="7" t="str">
        <f ca="1">IFERROR(S47/SUM(S:S),S47)</f>
        <v>Non appliqué</v>
      </c>
      <c r="U47" s="7" t="str">
        <f ca="1">IFERROR(T47*O48,T47)</f>
        <v>Non appliqué</v>
      </c>
      <c r="V47" s="7">
        <f t="shared" ca="1" si="7"/>
        <v>0.05</v>
      </c>
      <c r="W47" s="7">
        <f ca="1">IFERROR(V47/SUM(V:V),V47)</f>
        <v>5.0505050505050511E-2</v>
      </c>
      <c r="X47" s="7">
        <f ca="1">IFERROR(W47*Q48,W47)</f>
        <v>0</v>
      </c>
    </row>
    <row r="48" spans="1:25" x14ac:dyDescent="0.3">
      <c r="A48" s="64" t="s">
        <v>21</v>
      </c>
      <c r="B48" s="64" t="s">
        <v>682</v>
      </c>
      <c r="C48" s="71">
        <f>SUMIFS(Grille!R:R,Grille!A:A,Grille_HT4!A48,Grille!C:C,Grille_HT4!B48,Grille!H:H,"Majeur")</f>
        <v>0</v>
      </c>
      <c r="D48" s="71">
        <f>SUMIFS(Grille!Q:Q,Grille!A:A,Grille_HT4!A48,Grille!C:C,Grille_HT4!B48,Grille!H:H,"Majeur")</f>
        <v>0</v>
      </c>
      <c r="E48" s="71">
        <f>SUMIFS(Grille!N:N,Grille!A:A,Grille_HT4!A48,Grille!C:C,Grille_HT4!B48,Grille!H:H,"Majeur")</f>
        <v>0</v>
      </c>
      <c r="F48" s="72" t="str">
        <f t="shared" si="0"/>
        <v>Non appliqué</v>
      </c>
      <c r="G48" s="71">
        <f>SUMIFS(Grille!R:R,Grille!A:A,Grille_HT4!A48,Grille!C:C,Grille_HT4!B48,Grille!H:H,"Mineur")</f>
        <v>12</v>
      </c>
      <c r="H48" s="71">
        <f ca="1">SUMIFS(Grille!Q:Q,Grille!A:A,Grille_HT4!A48,Grille!C:C,Grille_HT4!B48,Grille!H:H,"Mineur")</f>
        <v>12</v>
      </c>
      <c r="I48" s="71">
        <f ca="1">SUMIFS(Grille!N:N,Grille!A:A,Grille_HT4!A48,Grille!C:C,Grille_HT4!B48,Grille!H:H,"Mineur")</f>
        <v>0</v>
      </c>
      <c r="J48" s="72">
        <f t="shared" ca="1" si="1"/>
        <v>0</v>
      </c>
      <c r="K48" s="71">
        <v>30</v>
      </c>
      <c r="L48" s="73" t="str">
        <f t="shared" si="2"/>
        <v>Non appliqué</v>
      </c>
      <c r="M48" s="73">
        <f t="shared" ca="1" si="3"/>
        <v>0.3</v>
      </c>
      <c r="N48" s="73" t="str">
        <f>IF(ISNUMBER(F48),F48*L48,F48)</f>
        <v>Non appliqué</v>
      </c>
      <c r="O48" s="73" t="str">
        <f t="shared" si="4"/>
        <v>Non appliqué</v>
      </c>
      <c r="P48" s="73">
        <f ca="1">IF(ISNUMBER(J48),J48*M48,J48)</f>
        <v>0</v>
      </c>
      <c r="Q48" s="73">
        <f t="shared" ca="1" si="5"/>
        <v>0</v>
      </c>
      <c r="R48" s="77"/>
      <c r="S48" s="75"/>
      <c r="T48" s="75"/>
      <c r="U48" s="75"/>
      <c r="V48" s="76"/>
      <c r="W48" s="76"/>
      <c r="X48" s="76"/>
      <c r="Y48" s="134">
        <f>Y46+1</f>
        <v>35</v>
      </c>
    </row>
    <row r="49" spans="1:25" x14ac:dyDescent="0.3">
      <c r="A49" s="64" t="s">
        <v>21</v>
      </c>
      <c r="B49" s="64" t="s">
        <v>720</v>
      </c>
      <c r="C49" s="71">
        <f>SUMIFS(Grille!R:R,Grille!A:A,Grille_HT4!A49,Grille!C:C,Grille_HT4!B49,Grille!H:H,"Majeur")</f>
        <v>0</v>
      </c>
      <c r="D49" s="71">
        <f>SUMIFS(Grille!Q:Q,Grille!A:A,Grille_HT4!A49,Grille!C:C,Grille_HT4!B49,Grille!H:H,"Majeur")</f>
        <v>0</v>
      </c>
      <c r="E49" s="71">
        <f>SUMIFS(Grille!N:N,Grille!A:A,Grille_HT4!A49,Grille!C:C,Grille_HT4!B49,Grille!H:H,"Majeur")</f>
        <v>0</v>
      </c>
      <c r="F49" s="72" t="str">
        <f t="shared" si="0"/>
        <v>Non appliqué</v>
      </c>
      <c r="G49" s="71">
        <f>SUMIFS(Grille!R:R,Grille!A:A,Grille_HT4!A49,Grille!C:C,Grille_HT4!B49,Grille!H:H,"Mineur")</f>
        <v>6</v>
      </c>
      <c r="H49" s="71">
        <f ca="1">SUMIFS(Grille!Q:Q,Grille!A:A,Grille_HT4!A49,Grille!C:C,Grille_HT4!B49,Grille!H:H,"Mineur")</f>
        <v>6</v>
      </c>
      <c r="I49" s="71">
        <f ca="1">SUMIFS(Grille!N:N,Grille!A:A,Grille_HT4!A49,Grille!C:C,Grille_HT4!B49,Grille!H:H,"Mineur")</f>
        <v>0</v>
      </c>
      <c r="J49" s="72">
        <f t="shared" ca="1" si="1"/>
        <v>0</v>
      </c>
      <c r="K49" s="71">
        <v>25</v>
      </c>
      <c r="L49" s="73" t="str">
        <f t="shared" si="2"/>
        <v>Non appliqué</v>
      </c>
      <c r="M49" s="73">
        <f t="shared" ca="1" si="3"/>
        <v>0.25</v>
      </c>
      <c r="N49" s="73" t="str">
        <f>IF(ISNUMBER(F49),F49*L49,F49)</f>
        <v>Non appliqué</v>
      </c>
      <c r="O49" s="73" t="str">
        <f t="shared" si="4"/>
        <v>Non appliqué</v>
      </c>
      <c r="P49" s="73">
        <f ca="1">IF(ISNUMBER(J49),J49*M49,J49)</f>
        <v>0</v>
      </c>
      <c r="Q49" s="73">
        <f t="shared" ca="1" si="5"/>
        <v>0</v>
      </c>
      <c r="R49" s="77"/>
      <c r="S49" s="75"/>
      <c r="T49" s="75"/>
      <c r="U49" s="75"/>
      <c r="V49" s="76"/>
      <c r="W49" s="76"/>
      <c r="X49" s="76"/>
      <c r="Y49" s="134">
        <f t="shared" si="8"/>
        <v>36</v>
      </c>
    </row>
    <row r="50" spans="1:25" x14ac:dyDescent="0.3">
      <c r="A50" s="64" t="s">
        <v>21</v>
      </c>
      <c r="B50" s="64" t="s">
        <v>722</v>
      </c>
      <c r="C50" s="71">
        <f>SUMIFS(Grille!R:R,Grille!A:A,Grille_HT4!A50,Grille!C:C,Grille_HT4!B50,Grille!H:H,"Majeur")</f>
        <v>0</v>
      </c>
      <c r="D50" s="71">
        <f>SUMIFS(Grille!Q:Q,Grille!A:A,Grille_HT4!A50,Grille!C:C,Grille_HT4!B50,Grille!H:H,"Majeur")</f>
        <v>0</v>
      </c>
      <c r="E50" s="71">
        <f>SUMIFS(Grille!N:N,Grille!A:A,Grille_HT4!A50,Grille!C:C,Grille_HT4!B50,Grille!H:H,"Majeur")</f>
        <v>0</v>
      </c>
      <c r="F50" s="72" t="str">
        <f t="shared" si="0"/>
        <v>Non appliqué</v>
      </c>
      <c r="G50" s="71">
        <f>SUMIFS(Grille!R:R,Grille!A:A,Grille_HT4!A50,Grille!C:C,Grille_HT4!B50,Grille!H:H,"Mineur")</f>
        <v>21</v>
      </c>
      <c r="H50" s="71">
        <f ca="1">SUMIFS(Grille!Q:Q,Grille!A:A,Grille_HT4!A50,Grille!C:C,Grille_HT4!B50,Grille!H:H,"Mineur")</f>
        <v>21</v>
      </c>
      <c r="I50" s="71">
        <f ca="1">SUMIFS(Grille!N:N,Grille!A:A,Grille_HT4!A50,Grille!C:C,Grille_HT4!B50,Grille!H:H,"Mineur")</f>
        <v>0</v>
      </c>
      <c r="J50" s="72">
        <f t="shared" ca="1" si="1"/>
        <v>0</v>
      </c>
      <c r="K50" s="71">
        <v>25</v>
      </c>
      <c r="L50" s="73" t="str">
        <f t="shared" si="2"/>
        <v>Non appliqué</v>
      </c>
      <c r="M50" s="73">
        <f t="shared" ca="1" si="3"/>
        <v>0.25</v>
      </c>
      <c r="N50" s="73" t="str">
        <f>IF(ISNUMBER(F50),F50*L50,F50)</f>
        <v>Non appliqué</v>
      </c>
      <c r="O50" s="73" t="str">
        <f t="shared" si="4"/>
        <v>Non appliqué</v>
      </c>
      <c r="P50" s="73">
        <f ca="1">IF(ISNUMBER(J50),J50*M50,J50)</f>
        <v>0</v>
      </c>
      <c r="Q50" s="73">
        <f t="shared" ca="1" si="5"/>
        <v>0</v>
      </c>
      <c r="R50" s="77"/>
      <c r="S50" s="75"/>
      <c r="T50" s="75"/>
      <c r="U50" s="75"/>
      <c r="V50" s="76"/>
      <c r="W50" s="76"/>
      <c r="X50" s="76"/>
      <c r="Y50" s="134">
        <f t="shared" si="8"/>
        <v>37</v>
      </c>
    </row>
    <row r="51" spans="1:25" x14ac:dyDescent="0.3">
      <c r="A51" s="64" t="s">
        <v>21</v>
      </c>
      <c r="B51" s="64" t="s">
        <v>724</v>
      </c>
      <c r="C51" s="71">
        <f>SUMIFS(Grille!R:R,Grille!A:A,Grille_HT4!A51,Grille!C:C,Grille_HT4!B51,Grille!H:H,"Majeur")</f>
        <v>0</v>
      </c>
      <c r="D51" s="71">
        <f>SUMIFS(Grille!Q:Q,Grille!A:A,Grille_HT4!A51,Grille!C:C,Grille_HT4!B51,Grille!H:H,"Majeur")</f>
        <v>0</v>
      </c>
      <c r="E51" s="71">
        <f>SUMIFS(Grille!N:N,Grille!A:A,Grille_HT4!A51,Grille!C:C,Grille_HT4!B51,Grille!H:H,"Majeur")</f>
        <v>0</v>
      </c>
      <c r="F51" s="72" t="str">
        <f t="shared" si="0"/>
        <v>Non appliqué</v>
      </c>
      <c r="G51" s="71">
        <f>SUMIFS(Grille!R:R,Grille!A:A,Grille_HT4!A51,Grille!C:C,Grille_HT4!B51,Grille!H:H,"Mineur")</f>
        <v>8</v>
      </c>
      <c r="H51" s="71">
        <f ca="1">SUMIFS(Grille!Q:Q,Grille!A:A,Grille_HT4!A51,Grille!C:C,Grille_HT4!B51,Grille!H:H,"Mineur")</f>
        <v>8</v>
      </c>
      <c r="I51" s="71">
        <f ca="1">SUMIFS(Grille!N:N,Grille!A:A,Grille_HT4!A51,Grille!C:C,Grille_HT4!B51,Grille!H:H,"Mineur")</f>
        <v>0</v>
      </c>
      <c r="J51" s="72">
        <f t="shared" ca="1" si="1"/>
        <v>0</v>
      </c>
      <c r="K51" s="71">
        <v>10</v>
      </c>
      <c r="L51" s="73" t="str">
        <f t="shared" si="2"/>
        <v>Non appliqué</v>
      </c>
      <c r="M51" s="73">
        <f t="shared" ca="1" si="3"/>
        <v>0.1</v>
      </c>
      <c r="N51" s="73" t="str">
        <f>IF(ISNUMBER(F51),F51*L51,F51)</f>
        <v>Non appliqué</v>
      </c>
      <c r="O51" s="73" t="str">
        <f t="shared" si="4"/>
        <v>Non appliqué</v>
      </c>
      <c r="P51" s="73">
        <f ca="1">IF(ISNUMBER(J51),J51*M51,J51)</f>
        <v>0</v>
      </c>
      <c r="Q51" s="73">
        <f t="shared" ca="1" si="5"/>
        <v>0</v>
      </c>
      <c r="R51" s="77"/>
      <c r="S51" s="75"/>
      <c r="T51" s="75"/>
      <c r="U51" s="75"/>
      <c r="V51" s="76"/>
      <c r="W51" s="76"/>
      <c r="X51" s="76"/>
      <c r="Y51" s="134">
        <f t="shared" si="8"/>
        <v>38</v>
      </c>
    </row>
    <row r="52" spans="1:25" x14ac:dyDescent="0.3">
      <c r="A52" s="64" t="s">
        <v>21</v>
      </c>
      <c r="B52" s="64" t="s">
        <v>725</v>
      </c>
      <c r="C52" s="71">
        <f>SUMIFS(Grille!R:R,Grille!A:A,Grille_HT4!A52,Grille!C:C,Grille_HT4!B52,Grille!H:H,"Majeur")</f>
        <v>0</v>
      </c>
      <c r="D52" s="71">
        <f>SUMIFS(Grille!Q:Q,Grille!A:A,Grille_HT4!A52,Grille!C:C,Grille_HT4!B52,Grille!H:H,"Majeur")</f>
        <v>0</v>
      </c>
      <c r="E52" s="71">
        <f>SUMIFS(Grille!N:N,Grille!A:A,Grille_HT4!A52,Grille!C:C,Grille_HT4!B52,Grille!H:H,"Majeur")</f>
        <v>0</v>
      </c>
      <c r="F52" s="72" t="str">
        <f t="shared" si="0"/>
        <v>Non appliqué</v>
      </c>
      <c r="G52" s="71">
        <f>SUMIFS(Grille!R:R,Grille!A:A,Grille_HT4!A52,Grille!C:C,Grille_HT4!B52,Grille!H:H,"Mineur")</f>
        <v>16</v>
      </c>
      <c r="H52" s="71">
        <f ca="1">SUMIFS(Grille!Q:Q,Grille!A:A,Grille_HT4!A52,Grille!C:C,Grille_HT4!B52,Grille!H:H,"Mineur")</f>
        <v>16</v>
      </c>
      <c r="I52" s="71">
        <f ca="1">SUMIFS(Grille!N:N,Grille!A:A,Grille_HT4!A52,Grille!C:C,Grille_HT4!B52,Grille!H:H,"Mineur")</f>
        <v>0</v>
      </c>
      <c r="J52" s="72">
        <f t="shared" ca="1" si="1"/>
        <v>0</v>
      </c>
      <c r="K52" s="71">
        <v>10</v>
      </c>
      <c r="L52" s="73" t="str">
        <f t="shared" si="2"/>
        <v>Non appliqué</v>
      </c>
      <c r="M52" s="73">
        <f t="shared" ca="1" si="3"/>
        <v>0.1</v>
      </c>
      <c r="N52" s="73" t="str">
        <f>IF(ISNUMBER(F52),F52*L52,F52)</f>
        <v>Non appliqué</v>
      </c>
      <c r="O52" s="73" t="str">
        <f t="shared" si="4"/>
        <v>Non appliqué</v>
      </c>
      <c r="P52" s="73">
        <f ca="1">IF(ISNUMBER(J52),J52*M52,J52)</f>
        <v>0</v>
      </c>
      <c r="Q52" s="73">
        <f t="shared" ca="1" si="5"/>
        <v>0</v>
      </c>
      <c r="R52" s="77"/>
      <c r="S52" s="75"/>
      <c r="T52" s="75"/>
      <c r="U52" s="75"/>
      <c r="V52" s="76"/>
      <c r="W52" s="76"/>
      <c r="X52" s="76"/>
      <c r="Y52" s="134">
        <f t="shared" si="8"/>
        <v>39</v>
      </c>
    </row>
    <row r="53" spans="1:25" ht="25.2" x14ac:dyDescent="0.3">
      <c r="A53" s="4"/>
      <c r="B53" s="4" t="s">
        <v>729</v>
      </c>
      <c r="C53" s="5"/>
      <c r="D53" s="5"/>
      <c r="E53" s="5"/>
      <c r="F53" s="5"/>
      <c r="G53" s="9"/>
      <c r="H53" s="9"/>
      <c r="I53" s="9"/>
      <c r="J53" s="6"/>
      <c r="K53" s="5"/>
      <c r="L53" s="5"/>
      <c r="M53" s="5"/>
      <c r="N53" s="6"/>
      <c r="O53" s="6"/>
      <c r="P53" s="6"/>
      <c r="Q53" s="6"/>
      <c r="R53" s="70">
        <v>2</v>
      </c>
      <c r="S53" s="7" t="str">
        <f t="shared" si="6"/>
        <v>Non appliqué</v>
      </c>
      <c r="T53" s="7" t="str">
        <f ca="1">IFERROR(S53/SUM(S:S),S53)</f>
        <v>Non appliqué</v>
      </c>
      <c r="U53" s="7" t="str">
        <f ca="1">IFERROR(T53*#REF!,T53)</f>
        <v>Non appliqué</v>
      </c>
      <c r="V53" s="7">
        <f t="shared" ca="1" si="7"/>
        <v>0.02</v>
      </c>
      <c r="W53" s="7">
        <f ca="1">IFERROR(V53/SUM(V:V),V53)</f>
        <v>2.0202020202020204E-2</v>
      </c>
      <c r="X53" s="7">
        <f ca="1">IFERROR(W53*Q54,W53)</f>
        <v>0</v>
      </c>
    </row>
    <row r="54" spans="1:25" x14ac:dyDescent="0.3">
      <c r="A54" s="64" t="s">
        <v>729</v>
      </c>
      <c r="B54" s="64" t="s">
        <v>729</v>
      </c>
      <c r="C54" s="71">
        <f>SUMIFS(Grille!R:R,Grille!A:A,Grille_HT4!A54,Grille!C:C,Grille_HT4!B54,Grille!H:H,"Majeur")</f>
        <v>0</v>
      </c>
      <c r="D54" s="71">
        <f>SUMIFS(Grille!Q:Q,Grille!A:A,Grille_HT4!A54,Grille!C:C,Grille_HT4!B54,Grille!H:H,"Majeur")</f>
        <v>0</v>
      </c>
      <c r="E54" s="71">
        <f>SUMIFS(Grille!N:N,Grille!A:A,Grille_HT4!A54,Grille!C:C,Grille_HT4!B54,Grille!H:H,"Majeur")</f>
        <v>0</v>
      </c>
      <c r="F54" s="72" t="str">
        <f t="shared" si="0"/>
        <v>Non appliqué</v>
      </c>
      <c r="G54" s="71">
        <f>SUMIFS(Grille!R:R,Grille!A:A,Grille_HT4!A54,Grille!C:C,Grille_HT4!B54,Grille!H:H,"Mineur")</f>
        <v>18</v>
      </c>
      <c r="H54" s="71">
        <f ca="1">SUMIFS(Grille!Q:Q,Grille!A:A,Grille_HT4!A54,Grille!C:C,Grille_HT4!B54,Grille!H:H,"Mineur")</f>
        <v>18</v>
      </c>
      <c r="I54" s="71">
        <f ca="1">SUMIFS(Grille!N:N,Grille!A:A,Grille_HT4!A54,Grille!C:C,Grille_HT4!B54,Grille!H:H,"Mineur")</f>
        <v>0</v>
      </c>
      <c r="J54" s="72">
        <f t="shared" ca="1" si="1"/>
        <v>0</v>
      </c>
      <c r="K54" s="71">
        <v>100</v>
      </c>
      <c r="L54" s="73" t="str">
        <f t="shared" si="2"/>
        <v>Non appliqué</v>
      </c>
      <c r="M54" s="73">
        <f t="shared" ca="1" si="3"/>
        <v>1</v>
      </c>
      <c r="N54" s="73" t="str">
        <f>IF(ISNUMBER(F54),F54*L54,F54)</f>
        <v>Non appliqué</v>
      </c>
      <c r="O54" s="73" t="str">
        <f t="shared" si="4"/>
        <v>Non appliqué</v>
      </c>
      <c r="P54" s="73">
        <f ca="1">IF(ISNUMBER(J54),J54*M54,J54)</f>
        <v>0</v>
      </c>
      <c r="Q54" s="73">
        <f t="shared" ca="1" si="5"/>
        <v>0</v>
      </c>
      <c r="R54" s="77"/>
      <c r="S54" s="75"/>
      <c r="T54" s="75"/>
      <c r="U54" s="75"/>
      <c r="V54" s="76"/>
      <c r="W54" s="76"/>
      <c r="X54" s="76"/>
      <c r="Y54" s="134">
        <f>Y52+1</f>
        <v>40</v>
      </c>
    </row>
    <row r="55" spans="1:25" ht="25.2" x14ac:dyDescent="0.3">
      <c r="A55" s="4"/>
      <c r="B55" s="4" t="str">
        <f>A56</f>
        <v>Autres animations</v>
      </c>
      <c r="C55" s="5"/>
      <c r="D55" s="5"/>
      <c r="E55" s="5"/>
      <c r="F55" s="5"/>
      <c r="G55" s="9"/>
      <c r="H55" s="9"/>
      <c r="I55" s="9"/>
      <c r="J55" s="6"/>
      <c r="K55" s="5"/>
      <c r="L55" s="5"/>
      <c r="M55" s="5"/>
      <c r="N55" s="6"/>
      <c r="O55" s="6"/>
      <c r="P55" s="6"/>
      <c r="Q55" s="6"/>
      <c r="R55" s="70">
        <v>1</v>
      </c>
      <c r="S55" s="7" t="str">
        <f t="shared" si="6"/>
        <v>Non appliqué</v>
      </c>
      <c r="T55" s="7" t="str">
        <f ca="1">IFERROR(S55/SUM(S:S),S55)</f>
        <v>Non appliqué</v>
      </c>
      <c r="U55" s="7" t="str">
        <f ca="1">IFERROR(T55*O56,T55)</f>
        <v>Non appliqué</v>
      </c>
      <c r="V55" s="7">
        <f t="shared" ca="1" si="7"/>
        <v>0.01</v>
      </c>
      <c r="W55" s="7">
        <f ca="1">IFERROR(V55/SUM(V:V),V55)</f>
        <v>1.0101010101010102E-2</v>
      </c>
      <c r="X55" s="7">
        <f ca="1">IFERROR(W55*Q56,W55)</f>
        <v>0</v>
      </c>
    </row>
    <row r="56" spans="1:25" x14ac:dyDescent="0.3">
      <c r="A56" s="64" t="s">
        <v>731</v>
      </c>
      <c r="B56" s="64" t="s">
        <v>733</v>
      </c>
      <c r="C56" s="71">
        <f>SUMIFS(Grille!R:R,Grille!A:A,Grille_HT4!A56,Grille!C:C,Grille_HT4!B56,Grille!H:H,"Majeur")</f>
        <v>0</v>
      </c>
      <c r="D56" s="71">
        <f>SUMIFS(Grille!Q:Q,Grille!A:A,Grille_HT4!A56,Grille!C:C,Grille_HT4!B56,Grille!H:H,"Majeur")</f>
        <v>0</v>
      </c>
      <c r="E56" s="71">
        <f>SUMIFS(Grille!N:N,Grille!A:A,Grille_HT4!A56,Grille!C:C,Grille_HT4!B56,Grille!H:H,"Majeur")</f>
        <v>0</v>
      </c>
      <c r="F56" s="72" t="str">
        <f t="shared" si="0"/>
        <v>Non appliqué</v>
      </c>
      <c r="G56" s="71">
        <f>SUMIFS(Grille!R:R,Grille!A:A,Grille_HT4!A56,Grille!C:C,Grille_HT4!B56,Grille!H:H,"Mineur")</f>
        <v>8</v>
      </c>
      <c r="H56" s="71">
        <f ca="1">SUMIFS(Grille!Q:Q,Grille!A:A,Grille_HT4!A56,Grille!C:C,Grille_HT4!B56,Grille!H:H,"Mineur")</f>
        <v>8</v>
      </c>
      <c r="I56" s="71">
        <f ca="1">SUMIFS(Grille!N:N,Grille!A:A,Grille_HT4!A56,Grille!C:C,Grille_HT4!B56,Grille!H:H,"Mineur")</f>
        <v>0</v>
      </c>
      <c r="J56" s="72">
        <f t="shared" ca="1" si="1"/>
        <v>0</v>
      </c>
      <c r="K56" s="71">
        <v>40</v>
      </c>
      <c r="L56" s="73" t="str">
        <f t="shared" si="2"/>
        <v>Non appliqué</v>
      </c>
      <c r="M56" s="73">
        <f t="shared" ca="1" si="3"/>
        <v>0.4</v>
      </c>
      <c r="N56" s="73" t="str">
        <f>IF(ISNUMBER(F56),F56*L56,F56)</f>
        <v>Non appliqué</v>
      </c>
      <c r="O56" s="73" t="str">
        <f t="shared" si="4"/>
        <v>Non appliqué</v>
      </c>
      <c r="P56" s="73">
        <f ca="1">IF(ISNUMBER(J56),J56*M56,J56)</f>
        <v>0</v>
      </c>
      <c r="Q56" s="73">
        <f t="shared" ca="1" si="5"/>
        <v>0</v>
      </c>
      <c r="R56" s="77"/>
      <c r="S56" s="75"/>
      <c r="T56" s="75"/>
      <c r="U56" s="75"/>
      <c r="V56" s="76"/>
      <c r="W56" s="76"/>
      <c r="X56" s="76"/>
      <c r="Y56" s="134">
        <f>Y54+1</f>
        <v>41</v>
      </c>
    </row>
    <row r="57" spans="1:25" ht="25.2" x14ac:dyDescent="0.3">
      <c r="A57" s="64" t="s">
        <v>731</v>
      </c>
      <c r="B57" s="64" t="s">
        <v>734</v>
      </c>
      <c r="C57" s="71">
        <f>SUMIFS(Grille!R:R,Grille!A:A,Grille_HT4!A57,Grille!C:C,Grille_HT4!B57,Grille!H:H,"Majeur")</f>
        <v>0</v>
      </c>
      <c r="D57" s="71">
        <f>SUMIFS(Grille!Q:Q,Grille!A:A,Grille_HT4!A57,Grille!C:C,Grille_HT4!B57,Grille!H:H,"Majeur")</f>
        <v>0</v>
      </c>
      <c r="E57" s="71">
        <f>SUMIFS(Grille!N:N,Grille!A:A,Grille_HT4!A57,Grille!C:C,Grille_HT4!B57,Grille!H:H,"Majeur")</f>
        <v>0</v>
      </c>
      <c r="F57" s="72" t="str">
        <f t="shared" si="0"/>
        <v>Non appliqué</v>
      </c>
      <c r="G57" s="71">
        <f>SUMIFS(Grille!R:R,Grille!A:A,Grille_HT4!A57,Grille!C:C,Grille_HT4!B57,Grille!H:H,"Mineur")</f>
        <v>8</v>
      </c>
      <c r="H57" s="71">
        <f ca="1">SUMIFS(Grille!Q:Q,Grille!A:A,Grille_HT4!A57,Grille!C:C,Grille_HT4!B57,Grille!H:H,"Mineur")</f>
        <v>8</v>
      </c>
      <c r="I57" s="71">
        <f ca="1">SUMIFS(Grille!N:N,Grille!A:A,Grille_HT4!A57,Grille!C:C,Grille_HT4!B57,Grille!H:H,"Mineur")</f>
        <v>0</v>
      </c>
      <c r="J57" s="72">
        <f t="shared" ca="1" si="1"/>
        <v>0</v>
      </c>
      <c r="K57" s="71">
        <v>10</v>
      </c>
      <c r="L57" s="73" t="str">
        <f t="shared" si="2"/>
        <v>Non appliqué</v>
      </c>
      <c r="M57" s="73">
        <f t="shared" ca="1" si="3"/>
        <v>0.1</v>
      </c>
      <c r="N57" s="73" t="str">
        <f>IF(ISNUMBER(F57),F57*L57,F57)</f>
        <v>Non appliqué</v>
      </c>
      <c r="O57" s="73" t="str">
        <f t="shared" si="4"/>
        <v>Non appliqué</v>
      </c>
      <c r="P57" s="73">
        <f ca="1">IF(ISNUMBER(J57),J57*M57,J57)</f>
        <v>0</v>
      </c>
      <c r="Q57" s="73">
        <f t="shared" ca="1" si="5"/>
        <v>0</v>
      </c>
      <c r="R57" s="77"/>
      <c r="S57" s="75"/>
      <c r="T57" s="75"/>
      <c r="U57" s="75"/>
      <c r="V57" s="76"/>
      <c r="W57" s="76"/>
      <c r="X57" s="76"/>
      <c r="Y57" s="134">
        <f t="shared" si="8"/>
        <v>42</v>
      </c>
    </row>
    <row r="58" spans="1:25" ht="25.2" x14ac:dyDescent="0.3">
      <c r="A58" s="64" t="s">
        <v>731</v>
      </c>
      <c r="B58" s="64" t="s">
        <v>735</v>
      </c>
      <c r="C58" s="71">
        <f>SUMIFS(Grille!R:R,Grille!A:A,Grille_HT4!A58,Grille!C:C,Grille_HT4!B58,Grille!H:H,"Majeur")</f>
        <v>0</v>
      </c>
      <c r="D58" s="71">
        <f>SUMIFS(Grille!Q:Q,Grille!A:A,Grille_HT4!A58,Grille!C:C,Grille_HT4!B58,Grille!H:H,"Majeur")</f>
        <v>0</v>
      </c>
      <c r="E58" s="71">
        <f>SUMIFS(Grille!N:N,Grille!A:A,Grille_HT4!A58,Grille!C:C,Grille_HT4!B58,Grille!H:H,"Majeur")</f>
        <v>0</v>
      </c>
      <c r="F58" s="72" t="str">
        <f t="shared" si="0"/>
        <v>Non appliqué</v>
      </c>
      <c r="G58" s="71">
        <f>SUMIFS(Grille!R:R,Grille!A:A,Grille_HT4!A58,Grille!C:C,Grille_HT4!B58,Grille!H:H,"Mineur")</f>
        <v>8</v>
      </c>
      <c r="H58" s="71">
        <f ca="1">SUMIFS(Grille!Q:Q,Grille!A:A,Grille_HT4!A58,Grille!C:C,Grille_HT4!B58,Grille!H:H,"Mineur")</f>
        <v>8</v>
      </c>
      <c r="I58" s="71">
        <f ca="1">SUMIFS(Grille!N:N,Grille!A:A,Grille_HT4!A58,Grille!C:C,Grille_HT4!B58,Grille!H:H,"Mineur")</f>
        <v>0</v>
      </c>
      <c r="J58" s="72">
        <f t="shared" ca="1" si="1"/>
        <v>0</v>
      </c>
      <c r="K58" s="71">
        <v>10</v>
      </c>
      <c r="L58" s="73" t="str">
        <f t="shared" si="2"/>
        <v>Non appliqué</v>
      </c>
      <c r="M58" s="73">
        <f t="shared" ca="1" si="3"/>
        <v>0.1</v>
      </c>
      <c r="N58" s="73" t="str">
        <f>IF(ISNUMBER(F58),F58*L58,F58)</f>
        <v>Non appliqué</v>
      </c>
      <c r="O58" s="73" t="str">
        <f t="shared" si="4"/>
        <v>Non appliqué</v>
      </c>
      <c r="P58" s="73">
        <f ca="1">IF(ISNUMBER(J58),J58*M58,J58)</f>
        <v>0</v>
      </c>
      <c r="Q58" s="73">
        <f t="shared" ca="1" si="5"/>
        <v>0</v>
      </c>
      <c r="R58" s="77"/>
      <c r="S58" s="75"/>
      <c r="T58" s="75"/>
      <c r="U58" s="75"/>
      <c r="V58" s="76"/>
      <c r="W58" s="76"/>
      <c r="X58" s="76"/>
      <c r="Y58" s="134">
        <f t="shared" si="8"/>
        <v>43</v>
      </c>
    </row>
    <row r="59" spans="1:25" ht="25.2" x14ac:dyDescent="0.3">
      <c r="A59" s="64" t="s">
        <v>731</v>
      </c>
      <c r="B59" s="64" t="s">
        <v>736</v>
      </c>
      <c r="C59" s="71">
        <f>SUMIFS(Grille!R:R,Grille!A:A,Grille_HT4!A59,Grille!C:C,Grille_HT4!B59,Grille!H:H,"Majeur")</f>
        <v>0</v>
      </c>
      <c r="D59" s="71">
        <f>SUMIFS(Grille!Q:Q,Grille!A:A,Grille_HT4!A59,Grille!C:C,Grille_HT4!B59,Grille!H:H,"Majeur")</f>
        <v>0</v>
      </c>
      <c r="E59" s="71">
        <f>SUMIFS(Grille!N:N,Grille!A:A,Grille_HT4!A59,Grille!C:C,Grille_HT4!B59,Grille!H:H,"Majeur")</f>
        <v>0</v>
      </c>
      <c r="F59" s="72" t="str">
        <f t="shared" si="0"/>
        <v>Non appliqué</v>
      </c>
      <c r="G59" s="71">
        <f>SUMIFS(Grille!R:R,Grille!A:A,Grille_HT4!A59,Grille!C:C,Grille_HT4!B59,Grille!H:H,"Mineur")</f>
        <v>8</v>
      </c>
      <c r="H59" s="71">
        <f ca="1">SUMIFS(Grille!Q:Q,Grille!A:A,Grille_HT4!A59,Grille!C:C,Grille_HT4!B59,Grille!H:H,"Mineur")</f>
        <v>8</v>
      </c>
      <c r="I59" s="71">
        <f ca="1">SUMIFS(Grille!N:N,Grille!A:A,Grille_HT4!A59,Grille!C:C,Grille_HT4!B59,Grille!H:H,"Mineur")</f>
        <v>0</v>
      </c>
      <c r="J59" s="72">
        <f t="shared" ca="1" si="1"/>
        <v>0</v>
      </c>
      <c r="K59" s="71">
        <v>20</v>
      </c>
      <c r="L59" s="73" t="str">
        <f t="shared" si="2"/>
        <v>Non appliqué</v>
      </c>
      <c r="M59" s="73">
        <f t="shared" ca="1" si="3"/>
        <v>0.2</v>
      </c>
      <c r="N59" s="73" t="str">
        <f>IF(ISNUMBER(F59),F59*L59,F59)</f>
        <v>Non appliqué</v>
      </c>
      <c r="O59" s="73" t="str">
        <f t="shared" si="4"/>
        <v>Non appliqué</v>
      </c>
      <c r="P59" s="73">
        <f ca="1">IF(ISNUMBER(J59),J59*M59,J59)</f>
        <v>0</v>
      </c>
      <c r="Q59" s="73">
        <f t="shared" ca="1" si="5"/>
        <v>0</v>
      </c>
      <c r="R59" s="77"/>
      <c r="S59" s="75"/>
      <c r="T59" s="75"/>
      <c r="U59" s="75"/>
      <c r="V59" s="76"/>
      <c r="W59" s="76"/>
      <c r="X59" s="76"/>
      <c r="Y59" s="134">
        <f t="shared" si="8"/>
        <v>44</v>
      </c>
    </row>
    <row r="60" spans="1:25" ht="25.2" x14ac:dyDescent="0.3">
      <c r="A60" s="64" t="s">
        <v>731</v>
      </c>
      <c r="B60" s="64" t="s">
        <v>737</v>
      </c>
      <c r="C60" s="71">
        <f>SUMIFS(Grille!R:R,Grille!A:A,Grille_HT4!A60,Grille!C:C,Grille_HT4!B60,Grille!H:H,"Majeur")</f>
        <v>0</v>
      </c>
      <c r="D60" s="71">
        <f>SUMIFS(Grille!Q:Q,Grille!A:A,Grille_HT4!A60,Grille!C:C,Grille_HT4!B60,Grille!H:H,"Majeur")</f>
        <v>0</v>
      </c>
      <c r="E60" s="71">
        <f>SUMIFS(Grille!N:N,Grille!A:A,Grille_HT4!A60,Grille!C:C,Grille_HT4!B60,Grille!H:H,"Majeur")</f>
        <v>0</v>
      </c>
      <c r="F60" s="72" t="str">
        <f t="shared" si="0"/>
        <v>Non appliqué</v>
      </c>
      <c r="G60" s="71">
        <f>SUMIFS(Grille!R:R,Grille!A:A,Grille_HT4!A60,Grille!C:C,Grille_HT4!B60,Grille!H:H,"Mineur")</f>
        <v>8</v>
      </c>
      <c r="H60" s="71">
        <f ca="1">SUMIFS(Grille!Q:Q,Grille!A:A,Grille_HT4!A60,Grille!C:C,Grille_HT4!B60,Grille!H:H,"Mineur")</f>
        <v>8</v>
      </c>
      <c r="I60" s="71">
        <f ca="1">SUMIFS(Grille!N:N,Grille!A:A,Grille_HT4!A60,Grille!C:C,Grille_HT4!B60,Grille!H:H,"Mineur")</f>
        <v>0</v>
      </c>
      <c r="J60" s="72">
        <f t="shared" ca="1" si="1"/>
        <v>0</v>
      </c>
      <c r="K60" s="71">
        <v>20</v>
      </c>
      <c r="L60" s="73" t="str">
        <f t="shared" si="2"/>
        <v>Non appliqué</v>
      </c>
      <c r="M60" s="73">
        <f t="shared" ca="1" si="3"/>
        <v>0.2</v>
      </c>
      <c r="N60" s="73" t="str">
        <f>IF(ISNUMBER(F60),F60*L60,F60)</f>
        <v>Non appliqué</v>
      </c>
      <c r="O60" s="73" t="str">
        <f t="shared" si="4"/>
        <v>Non appliqué</v>
      </c>
      <c r="P60" s="73">
        <f ca="1">IF(ISNUMBER(J60),J60*M60,J60)</f>
        <v>0</v>
      </c>
      <c r="Q60" s="73">
        <f t="shared" ca="1" si="5"/>
        <v>0</v>
      </c>
      <c r="R60" s="77"/>
      <c r="S60" s="75"/>
      <c r="T60" s="75"/>
      <c r="U60" s="75"/>
      <c r="V60" s="76"/>
      <c r="W60" s="76"/>
      <c r="X60" s="76"/>
      <c r="Y60" s="134">
        <f t="shared" si="8"/>
        <v>45</v>
      </c>
    </row>
    <row r="61" spans="1:25" ht="25.2" x14ac:dyDescent="0.3">
      <c r="A61" s="4"/>
      <c r="B61" s="4" t="str">
        <f>A62</f>
        <v>Boutique</v>
      </c>
      <c r="C61" s="5"/>
      <c r="D61" s="5"/>
      <c r="E61" s="5"/>
      <c r="F61" s="5"/>
      <c r="G61" s="9"/>
      <c r="H61" s="9"/>
      <c r="I61" s="9"/>
      <c r="J61" s="6"/>
      <c r="K61" s="5"/>
      <c r="L61" s="5"/>
      <c r="M61" s="5"/>
      <c r="N61" s="6"/>
      <c r="O61" s="6"/>
      <c r="P61" s="6"/>
      <c r="Q61" s="6"/>
      <c r="R61" s="70">
        <v>1</v>
      </c>
      <c r="S61" s="7" t="str">
        <f t="shared" si="6"/>
        <v>Non appliqué</v>
      </c>
      <c r="T61" s="7" t="str">
        <f ca="1">IFERROR(S61/SUM(S:S),S61)</f>
        <v>Non appliqué</v>
      </c>
      <c r="U61" s="7" t="str">
        <f ca="1">IFERROR(T61*O62,T61)</f>
        <v>Non appliqué</v>
      </c>
      <c r="V61" s="7">
        <f t="shared" ca="1" si="7"/>
        <v>0.01</v>
      </c>
      <c r="W61" s="7">
        <f ca="1">IFERROR(V61/SUM(V:V),V61)</f>
        <v>1.0101010101010102E-2</v>
      </c>
      <c r="X61" s="7">
        <f ca="1">IFERROR(W61*Q62,W61)</f>
        <v>0</v>
      </c>
    </row>
    <row r="62" spans="1:25" x14ac:dyDescent="0.3">
      <c r="A62" s="64" t="s">
        <v>738</v>
      </c>
      <c r="B62" s="64" t="s">
        <v>738</v>
      </c>
      <c r="C62" s="71">
        <f>SUMIFS(Grille!R:R,Grille!A:A,Grille_HT4!A62,Grille!C:C,Grille_HT4!B62,Grille!H:H,"Majeur")</f>
        <v>0</v>
      </c>
      <c r="D62" s="71">
        <f>SUMIFS(Grille!Q:Q,Grille!A:A,Grille_HT4!A62,Grille!C:C,Grille_HT4!B62,Grille!H:H,"Majeur")</f>
        <v>0</v>
      </c>
      <c r="E62" s="71">
        <f>SUMIFS(Grille!N:N,Grille!A:A,Grille_HT4!A62,Grille!C:C,Grille_HT4!B62,Grille!H:H,"Majeur")</f>
        <v>0</v>
      </c>
      <c r="F62" s="72" t="str">
        <f t="shared" si="0"/>
        <v>Non appliqué</v>
      </c>
      <c r="G62" s="71">
        <f>SUMIFS(Grille!R:R,Grille!A:A,Grille_HT4!A62,Grille!C:C,Grille_HT4!B62,Grille!H:H,"Mineur")</f>
        <v>10</v>
      </c>
      <c r="H62" s="71">
        <f ca="1">SUMIFS(Grille!Q:Q,Grille!A:A,Grille_HT4!A62,Grille!C:C,Grille_HT4!B62,Grille!H:H,"Mineur")</f>
        <v>10</v>
      </c>
      <c r="I62" s="71">
        <f ca="1">SUMIFS(Grille!N:N,Grille!A:A,Grille_HT4!A62,Grille!C:C,Grille_HT4!B62,Grille!H:H,"Mineur")</f>
        <v>0</v>
      </c>
      <c r="J62" s="72">
        <f t="shared" ca="1" si="1"/>
        <v>0</v>
      </c>
      <c r="K62" s="71">
        <v>100</v>
      </c>
      <c r="L62" s="73" t="str">
        <f t="shared" si="2"/>
        <v>Non appliqué</v>
      </c>
      <c r="M62" s="73">
        <f t="shared" ca="1" si="3"/>
        <v>1</v>
      </c>
      <c r="N62" s="73" t="str">
        <f>IF(ISNUMBER(F62),F62*L62,F62)</f>
        <v>Non appliqué</v>
      </c>
      <c r="O62" s="73" t="str">
        <f t="shared" si="4"/>
        <v>Non appliqué</v>
      </c>
      <c r="P62" s="73">
        <f ca="1">IF(ISNUMBER(J62),J62*M62,J62)</f>
        <v>0</v>
      </c>
      <c r="Q62" s="73">
        <f t="shared" ca="1" si="5"/>
        <v>0</v>
      </c>
      <c r="R62" s="77"/>
      <c r="S62" s="75"/>
      <c r="T62" s="75"/>
      <c r="U62" s="75"/>
      <c r="V62" s="76"/>
      <c r="W62" s="76"/>
      <c r="X62" s="76"/>
      <c r="Y62" s="134">
        <f>Y60+1</f>
        <v>46</v>
      </c>
    </row>
    <row r="63" spans="1:25" x14ac:dyDescent="0.3">
      <c r="A63" s="4"/>
      <c r="B63" s="4" t="s">
        <v>739</v>
      </c>
      <c r="C63" s="5"/>
      <c r="D63" s="5"/>
      <c r="E63" s="5"/>
      <c r="F63" s="5"/>
      <c r="G63" s="9"/>
      <c r="H63" s="9"/>
      <c r="I63" s="9"/>
      <c r="J63" s="6"/>
      <c r="K63" s="5"/>
      <c r="L63" s="5"/>
      <c r="M63" s="5"/>
      <c r="N63" s="6"/>
      <c r="O63" s="6"/>
      <c r="P63" s="6"/>
      <c r="Q63" s="6"/>
      <c r="R63" s="70">
        <v>25</v>
      </c>
      <c r="S63" s="7">
        <f t="shared" ca="1" si="6"/>
        <v>0.25</v>
      </c>
      <c r="T63" s="7">
        <f ca="1">IFERROR(S63/SUM(S:S),S63)</f>
        <v>0.3048780487804878</v>
      </c>
      <c r="U63" s="7">
        <f ca="1">IFERROR(T63*O64,T63)</f>
        <v>0</v>
      </c>
      <c r="V63" s="7">
        <f t="shared" ca="1" si="7"/>
        <v>0.25</v>
      </c>
      <c r="W63" s="7">
        <f ca="1">IFERROR(V63/SUM(V:V),V63)</f>
        <v>0.25252525252525254</v>
      </c>
      <c r="X63" s="7">
        <f ca="1">IFERROR(W63*Q64,W63)</f>
        <v>0</v>
      </c>
    </row>
    <row r="64" spans="1:25" x14ac:dyDescent="0.3">
      <c r="A64" s="64" t="s">
        <v>739</v>
      </c>
      <c r="B64" s="64" t="s">
        <v>682</v>
      </c>
      <c r="C64" s="71">
        <f>SUMIFS(Grille!R:R,Grille!A:A,Grille_HT4!A64,Grille!C:C,Grille_HT4!B64,Grille!H:H,"Majeur")</f>
        <v>18</v>
      </c>
      <c r="D64" s="71">
        <f ca="1">SUMIFS(Grille!Q:Q,Grille!A:A,Grille_HT4!A64,Grille!C:C,Grille_HT4!B64,Grille!H:H,"Majeur")</f>
        <v>18</v>
      </c>
      <c r="E64" s="71">
        <f ca="1">SUMIFS(Grille!N:N,Grille!A:A,Grille_HT4!A64,Grille!C:C,Grille_HT4!B64,Grille!H:H,"Majeur")</f>
        <v>0</v>
      </c>
      <c r="F64" s="72">
        <f t="shared" ca="1" si="0"/>
        <v>0</v>
      </c>
      <c r="G64" s="71">
        <f>SUMIFS(Grille!R:R,Grille!A:A,Grille_HT4!A64,Grille!C:C,Grille_HT4!B64,Grille!H:H,"Mineur")</f>
        <v>2</v>
      </c>
      <c r="H64" s="71">
        <f ca="1">SUMIFS(Grille!Q:Q,Grille!A:A,Grille_HT4!A64,Grille!C:C,Grille_HT4!B64,Grille!H:H,"Mineur")</f>
        <v>2</v>
      </c>
      <c r="I64" s="71">
        <f ca="1">SUMIFS(Grille!N:N,Grille!A:A,Grille_HT4!A64,Grille!C:C,Grille_HT4!B64,Grille!H:H,"Mineur")</f>
        <v>0</v>
      </c>
      <c r="J64" s="72">
        <f t="shared" ca="1" si="1"/>
        <v>0</v>
      </c>
      <c r="K64" s="71">
        <v>10</v>
      </c>
      <c r="L64" s="73">
        <f t="shared" ca="1" si="2"/>
        <v>0.1</v>
      </c>
      <c r="M64" s="73">
        <f t="shared" ca="1" si="3"/>
        <v>0.23529411764705882</v>
      </c>
      <c r="N64" s="73">
        <f t="shared" ref="N64:N74" ca="1" si="11">IF(ISNUMBER(F64),F64*L64,F64)</f>
        <v>0</v>
      </c>
      <c r="O64" s="73">
        <f t="shared" ca="1" si="4"/>
        <v>0</v>
      </c>
      <c r="P64" s="73">
        <f t="shared" ref="P64:P74" ca="1" si="12">IF(ISNUMBER(J64),J64*M64,J64)</f>
        <v>0</v>
      </c>
      <c r="Q64" s="73">
        <f t="shared" ca="1" si="5"/>
        <v>0</v>
      </c>
      <c r="R64" s="77"/>
      <c r="S64" s="75"/>
      <c r="T64" s="75"/>
      <c r="U64" s="75"/>
      <c r="V64" s="76"/>
      <c r="W64" s="76"/>
      <c r="X64" s="76"/>
      <c r="Y64" s="134">
        <f>Y62+1</f>
        <v>47</v>
      </c>
    </row>
    <row r="65" spans="1:25" x14ac:dyDescent="0.3">
      <c r="A65" s="64" t="s">
        <v>739</v>
      </c>
      <c r="B65" s="64" t="s">
        <v>742</v>
      </c>
      <c r="C65" s="71">
        <f>SUMIFS(Grille!R:R,Grille!A:A,Grille_HT4!A65,Grille!C:C,Grille_HT4!B65,Grille!H:H,"Majeur")</f>
        <v>17</v>
      </c>
      <c r="D65" s="71">
        <f ca="1">SUMIFS(Grille!Q:Q,Grille!A:A,Grille_HT4!A65,Grille!C:C,Grille_HT4!B65,Grille!H:H,"Majeur")</f>
        <v>17</v>
      </c>
      <c r="E65" s="71">
        <f ca="1">SUMIFS(Grille!N:N,Grille!A:A,Grille_HT4!A65,Grille!C:C,Grille_HT4!B65,Grille!H:H,"Majeur")</f>
        <v>0</v>
      </c>
      <c r="F65" s="72">
        <f t="shared" ca="1" si="0"/>
        <v>0</v>
      </c>
      <c r="G65" s="71">
        <f>SUMIFS(Grille!R:R,Grille!A:A,Grille_HT4!A65,Grille!C:C,Grille_HT4!B65,Grille!H:H,"Mineur")</f>
        <v>0</v>
      </c>
      <c r="H65" s="71">
        <f>SUMIFS(Grille!Q:Q,Grille!A:A,Grille_HT4!A65,Grille!C:C,Grille_HT4!B65,Grille!H:H,"Mineur")</f>
        <v>0</v>
      </c>
      <c r="I65" s="71">
        <f>SUMIFS(Grille!N:N,Grille!A:A,Grille_HT4!A65,Grille!C:C,Grille_HT4!B65,Grille!H:H,"Mineur")</f>
        <v>0</v>
      </c>
      <c r="J65" s="72" t="str">
        <f t="shared" si="1"/>
        <v>Non appliqué</v>
      </c>
      <c r="K65" s="71">
        <v>2.5</v>
      </c>
      <c r="L65" s="73">
        <f t="shared" ca="1" si="2"/>
        <v>2.5000000000000001E-2</v>
      </c>
      <c r="M65" s="73" t="str">
        <f t="shared" si="3"/>
        <v>Non appliqué</v>
      </c>
      <c r="N65" s="73">
        <f t="shared" ca="1" si="11"/>
        <v>0</v>
      </c>
      <c r="O65" s="73">
        <f t="shared" ca="1" si="4"/>
        <v>0</v>
      </c>
      <c r="P65" s="73" t="str">
        <f t="shared" si="12"/>
        <v>Non appliqué</v>
      </c>
      <c r="Q65" s="73">
        <f t="shared" ca="1" si="5"/>
        <v>0</v>
      </c>
      <c r="R65" s="77"/>
      <c r="S65" s="75"/>
      <c r="T65" s="75"/>
      <c r="U65" s="75"/>
      <c r="V65" s="76"/>
      <c r="W65" s="76"/>
      <c r="X65" s="76"/>
      <c r="Y65" s="134">
        <f t="shared" si="8"/>
        <v>48</v>
      </c>
    </row>
    <row r="66" spans="1:25" x14ac:dyDescent="0.3">
      <c r="A66" s="64" t="s">
        <v>739</v>
      </c>
      <c r="B66" s="64" t="s">
        <v>743</v>
      </c>
      <c r="C66" s="71">
        <f>SUMIFS(Grille!R:R,Grille!A:A,Grille_HT4!A66,Grille!C:C,Grille_HT4!B66,Grille!H:H,"Majeur")</f>
        <v>20</v>
      </c>
      <c r="D66" s="71">
        <f ca="1">SUMIFS(Grille!Q:Q,Grille!A:A,Grille_HT4!A66,Grille!C:C,Grille_HT4!B66,Grille!H:H,"Majeur")</f>
        <v>20</v>
      </c>
      <c r="E66" s="71">
        <f ca="1">SUMIFS(Grille!N:N,Grille!A:A,Grille_HT4!A66,Grille!C:C,Grille_HT4!B66,Grille!H:H,"Majeur")</f>
        <v>0</v>
      </c>
      <c r="F66" s="72">
        <f t="shared" ca="1" si="0"/>
        <v>0</v>
      </c>
      <c r="G66" s="71">
        <f>SUMIFS(Grille!R:R,Grille!A:A,Grille_HT4!A66,Grille!C:C,Grille_HT4!B66,Grille!H:H,"Mineur")</f>
        <v>0</v>
      </c>
      <c r="H66" s="71">
        <f>SUMIFS(Grille!Q:Q,Grille!A:A,Grille_HT4!A66,Grille!C:C,Grille_HT4!B66,Grille!H:H,"Mineur")</f>
        <v>0</v>
      </c>
      <c r="I66" s="71">
        <f>SUMIFS(Grille!N:N,Grille!A:A,Grille_HT4!A66,Grille!C:C,Grille_HT4!B66,Grille!H:H,"Mineur")</f>
        <v>0</v>
      </c>
      <c r="J66" s="72" t="str">
        <f t="shared" si="1"/>
        <v>Non appliqué</v>
      </c>
      <c r="K66" s="71">
        <v>5</v>
      </c>
      <c r="L66" s="73">
        <f t="shared" ca="1" si="2"/>
        <v>0.05</v>
      </c>
      <c r="M66" s="73" t="str">
        <f t="shared" si="3"/>
        <v>Non appliqué</v>
      </c>
      <c r="N66" s="73">
        <f t="shared" ca="1" si="11"/>
        <v>0</v>
      </c>
      <c r="O66" s="73">
        <f t="shared" ca="1" si="4"/>
        <v>0</v>
      </c>
      <c r="P66" s="73" t="str">
        <f t="shared" si="12"/>
        <v>Non appliqué</v>
      </c>
      <c r="Q66" s="73">
        <f t="shared" ca="1" si="5"/>
        <v>0</v>
      </c>
      <c r="R66" s="77"/>
      <c r="S66" s="75"/>
      <c r="T66" s="75"/>
      <c r="U66" s="75"/>
      <c r="V66" s="76"/>
      <c r="W66" s="76"/>
      <c r="X66" s="76"/>
      <c r="Y66" s="134">
        <f t="shared" si="8"/>
        <v>49</v>
      </c>
    </row>
    <row r="67" spans="1:25" x14ac:dyDescent="0.3">
      <c r="A67" s="64" t="s">
        <v>739</v>
      </c>
      <c r="B67" s="64" t="s">
        <v>746</v>
      </c>
      <c r="C67" s="71">
        <f>SUMIFS(Grille!R:R,Grille!A:A,Grille_HT4!A67,Grille!C:C,Grille_HT4!B67,Grille!H:H,"Majeur")</f>
        <v>27</v>
      </c>
      <c r="D67" s="71">
        <f ca="1">SUMIFS(Grille!Q:Q,Grille!A:A,Grille_HT4!A67,Grille!C:C,Grille_HT4!B67,Grille!H:H,"Majeur")</f>
        <v>27</v>
      </c>
      <c r="E67" s="71">
        <f ca="1">SUMIFS(Grille!N:N,Grille!A:A,Grille_HT4!A67,Grille!C:C,Grille_HT4!B67,Grille!H:H,"Majeur")</f>
        <v>0</v>
      </c>
      <c r="F67" s="72">
        <f t="shared" ca="1" si="0"/>
        <v>0</v>
      </c>
      <c r="G67" s="71">
        <f>SUMIFS(Grille!R:R,Grille!A:A,Grille_HT4!A67,Grille!C:C,Grille_HT4!B67,Grille!H:H,"Mineur")</f>
        <v>0</v>
      </c>
      <c r="H67" s="71">
        <f>SUMIFS(Grille!Q:Q,Grille!A:A,Grille_HT4!A67,Grille!C:C,Grille_HT4!B67,Grille!H:H,"Mineur")</f>
        <v>0</v>
      </c>
      <c r="I67" s="71">
        <f>SUMIFS(Grille!N:N,Grille!A:A,Grille_HT4!A67,Grille!C:C,Grille_HT4!B67,Grille!H:H,"Mineur")</f>
        <v>0</v>
      </c>
      <c r="J67" s="72" t="str">
        <f t="shared" si="1"/>
        <v>Non appliqué</v>
      </c>
      <c r="K67" s="71">
        <v>20</v>
      </c>
      <c r="L67" s="73">
        <f t="shared" ca="1" si="2"/>
        <v>0.2</v>
      </c>
      <c r="M67" s="73" t="str">
        <f t="shared" si="3"/>
        <v>Non appliqué</v>
      </c>
      <c r="N67" s="73">
        <f t="shared" ca="1" si="11"/>
        <v>0</v>
      </c>
      <c r="O67" s="73">
        <f t="shared" ca="1" si="4"/>
        <v>0</v>
      </c>
      <c r="P67" s="73" t="str">
        <f t="shared" si="12"/>
        <v>Non appliqué</v>
      </c>
      <c r="Q67" s="73">
        <f t="shared" ca="1" si="5"/>
        <v>0</v>
      </c>
      <c r="R67" s="77"/>
      <c r="S67" s="75"/>
      <c r="T67" s="75"/>
      <c r="U67" s="75"/>
      <c r="V67" s="76"/>
      <c r="W67" s="76"/>
      <c r="X67" s="76"/>
      <c r="Y67" s="134">
        <f t="shared" si="8"/>
        <v>50</v>
      </c>
    </row>
    <row r="68" spans="1:25" x14ac:dyDescent="0.3">
      <c r="A68" s="64" t="s">
        <v>739</v>
      </c>
      <c r="B68" s="64" t="s">
        <v>747</v>
      </c>
      <c r="C68" s="71">
        <f>SUMIFS(Grille!R:R,Grille!A:A,Grille_HT4!A68,Grille!C:C,Grille_HT4!B68,Grille!H:H,"Majeur")</f>
        <v>10</v>
      </c>
      <c r="D68" s="71">
        <f ca="1">SUMIFS(Grille!Q:Q,Grille!A:A,Grille_HT4!A68,Grille!C:C,Grille_HT4!B68,Grille!H:H,"Majeur")</f>
        <v>10</v>
      </c>
      <c r="E68" s="71">
        <f ca="1">SUMIFS(Grille!N:N,Grille!A:A,Grille_HT4!A68,Grille!C:C,Grille_HT4!B68,Grille!H:H,"Majeur")</f>
        <v>0</v>
      </c>
      <c r="F68" s="72">
        <f t="shared" ref="F68:F91" ca="1" si="13">IF(C68=0,"Non appliqué",IF(D68=0,"Non concerné",E68/D68))</f>
        <v>0</v>
      </c>
      <c r="G68" s="71">
        <f>SUMIFS(Grille!R:R,Grille!A:A,Grille_HT4!A68,Grille!C:C,Grille_HT4!B68,Grille!H:H,"Mineur")</f>
        <v>0</v>
      </c>
      <c r="H68" s="71">
        <f>SUMIFS(Grille!Q:Q,Grille!A:A,Grille_HT4!A68,Grille!C:C,Grille_HT4!B68,Grille!H:H,"Mineur")</f>
        <v>0</v>
      </c>
      <c r="I68" s="71">
        <f>SUMIFS(Grille!N:N,Grille!A:A,Grille_HT4!A68,Grille!C:C,Grille_HT4!B68,Grille!H:H,"Mineur")</f>
        <v>0</v>
      </c>
      <c r="J68" s="72" t="str">
        <f t="shared" ref="J68:J91" si="14">IF(G68=0,"Non appliqué",IF(H68=0,"Non concerné",I68/H68))</f>
        <v>Non appliqué</v>
      </c>
      <c r="K68" s="71">
        <v>5</v>
      </c>
      <c r="L68" s="73">
        <f t="shared" ref="L68:L91" ca="1" si="15">IF(D68&gt;0,K68/SUMIFS(K:K,A:A,A68,D:D,"&gt;0"),F68)</f>
        <v>0.05</v>
      </c>
      <c r="M68" s="73" t="str">
        <f t="shared" ref="M68:M91" si="16">IF(H68&gt;0,K68/SUMIFS(K:K,A:A,A68,H:H,"&gt;0"),J68)</f>
        <v>Non appliqué</v>
      </c>
      <c r="N68" s="73">
        <f t="shared" ca="1" si="11"/>
        <v>0</v>
      </c>
      <c r="O68" s="73">
        <f t="shared" ref="O68:O91" ca="1" si="17">IF(SUMIFS(C:C,A:A,A68)=0,"Non appliqué",IF(SUMIFS(D:D,A:A,A68)&gt;=0,SUMIFS(N:N,A:A,A68),"Non concerné"))</f>
        <v>0</v>
      </c>
      <c r="P68" s="73" t="str">
        <f t="shared" si="12"/>
        <v>Non appliqué</v>
      </c>
      <c r="Q68" s="73">
        <f t="shared" ref="Q68:Q91" ca="1" si="18">IF(SUMIFS(G:G,A:A,A68)=0,"Non appliqué",IF(SUMIFS(H:H,A:A,A68)&gt;=0,SUMIFS(P:P,A:A,A68),"Non concerné"))</f>
        <v>0</v>
      </c>
      <c r="R68" s="77"/>
      <c r="S68" s="75"/>
      <c r="T68" s="75"/>
      <c r="U68" s="75"/>
      <c r="V68" s="76"/>
      <c r="W68" s="76"/>
      <c r="X68" s="76"/>
      <c r="Y68" s="134">
        <f t="shared" si="8"/>
        <v>51</v>
      </c>
    </row>
    <row r="69" spans="1:25" x14ac:dyDescent="0.3">
      <c r="A69" s="64" t="s">
        <v>739</v>
      </c>
      <c r="B69" s="64" t="s">
        <v>748</v>
      </c>
      <c r="C69" s="71">
        <f>SUMIFS(Grille!R:R,Grille!A:A,Grille_HT4!A69,Grille!C:C,Grille_HT4!B69,Grille!H:H,"Majeur")</f>
        <v>20</v>
      </c>
      <c r="D69" s="71">
        <f ca="1">SUMIFS(Grille!Q:Q,Grille!A:A,Grille_HT4!A69,Grille!C:C,Grille_HT4!B69,Grille!H:H,"Majeur")</f>
        <v>20</v>
      </c>
      <c r="E69" s="71">
        <f ca="1">SUMIFS(Grille!N:N,Grille!A:A,Grille_HT4!A69,Grille!C:C,Grille_HT4!B69,Grille!H:H,"Majeur")</f>
        <v>0</v>
      </c>
      <c r="F69" s="72">
        <f t="shared" ca="1" si="13"/>
        <v>0</v>
      </c>
      <c r="G69" s="71">
        <f>SUMIFS(Grille!R:R,Grille!A:A,Grille_HT4!A69,Grille!C:C,Grille_HT4!B69,Grille!H:H,"Mineur")</f>
        <v>0</v>
      </c>
      <c r="H69" s="71">
        <f>SUMIFS(Grille!Q:Q,Grille!A:A,Grille_HT4!A69,Grille!C:C,Grille_HT4!B69,Grille!H:H,"Mineur")</f>
        <v>0</v>
      </c>
      <c r="I69" s="71">
        <f>SUMIFS(Grille!N:N,Grille!A:A,Grille_HT4!A69,Grille!C:C,Grille_HT4!B69,Grille!H:H,"Mineur")</f>
        <v>0</v>
      </c>
      <c r="J69" s="72" t="str">
        <f t="shared" si="14"/>
        <v>Non appliqué</v>
      </c>
      <c r="K69" s="71">
        <v>20</v>
      </c>
      <c r="L69" s="73">
        <f t="shared" ca="1" si="15"/>
        <v>0.2</v>
      </c>
      <c r="M69" s="73" t="str">
        <f t="shared" si="16"/>
        <v>Non appliqué</v>
      </c>
      <c r="N69" s="73">
        <f t="shared" ca="1" si="11"/>
        <v>0</v>
      </c>
      <c r="O69" s="73">
        <f t="shared" ca="1" si="17"/>
        <v>0</v>
      </c>
      <c r="P69" s="73" t="str">
        <f t="shared" si="12"/>
        <v>Non appliqué</v>
      </c>
      <c r="Q69" s="73">
        <f t="shared" ca="1" si="18"/>
        <v>0</v>
      </c>
      <c r="R69" s="77"/>
      <c r="S69" s="75"/>
      <c r="T69" s="75"/>
      <c r="U69" s="75"/>
      <c r="V69" s="76"/>
      <c r="W69" s="76"/>
      <c r="X69" s="76"/>
      <c r="Y69" s="134">
        <f t="shared" si="8"/>
        <v>52</v>
      </c>
    </row>
    <row r="70" spans="1:25" x14ac:dyDescent="0.3">
      <c r="A70" s="64" t="s">
        <v>739</v>
      </c>
      <c r="B70" s="64" t="s">
        <v>751</v>
      </c>
      <c r="C70" s="71">
        <f>SUMIFS(Grille!R:R,Grille!A:A,Grille_HT4!A70,Grille!C:C,Grille_HT4!B70,Grille!H:H,"Majeur")</f>
        <v>18</v>
      </c>
      <c r="D70" s="71">
        <f ca="1">SUMIFS(Grille!Q:Q,Grille!A:A,Grille_HT4!A70,Grille!C:C,Grille_HT4!B70,Grille!H:H,"Majeur")</f>
        <v>18</v>
      </c>
      <c r="E70" s="71">
        <f ca="1">SUMIFS(Grille!N:N,Grille!A:A,Grille_HT4!A70,Grille!C:C,Grille_HT4!B70,Grille!H:H,"Majeur")</f>
        <v>0</v>
      </c>
      <c r="F70" s="72">
        <f t="shared" ca="1" si="13"/>
        <v>0</v>
      </c>
      <c r="G70" s="71">
        <f>SUMIFS(Grille!R:R,Grille!A:A,Grille_HT4!A70,Grille!C:C,Grille_HT4!B70,Grille!H:H,"Mineur")</f>
        <v>2</v>
      </c>
      <c r="H70" s="71">
        <f ca="1">SUMIFS(Grille!Q:Q,Grille!A:A,Grille_HT4!A70,Grille!C:C,Grille_HT4!B70,Grille!H:H,"Mineur")</f>
        <v>2</v>
      </c>
      <c r="I70" s="71">
        <f ca="1">SUMIFS(Grille!N:N,Grille!A:A,Grille_HT4!A70,Grille!C:C,Grille_HT4!B70,Grille!H:H,"Mineur")</f>
        <v>0</v>
      </c>
      <c r="J70" s="72">
        <f t="shared" ca="1" si="14"/>
        <v>0</v>
      </c>
      <c r="K70" s="71">
        <v>5</v>
      </c>
      <c r="L70" s="73">
        <f t="shared" ca="1" si="15"/>
        <v>0.05</v>
      </c>
      <c r="M70" s="73">
        <f t="shared" ca="1" si="16"/>
        <v>0.11764705882352941</v>
      </c>
      <c r="N70" s="73">
        <f t="shared" ca="1" si="11"/>
        <v>0</v>
      </c>
      <c r="O70" s="73">
        <f t="shared" ca="1" si="17"/>
        <v>0</v>
      </c>
      <c r="P70" s="73">
        <f t="shared" ca="1" si="12"/>
        <v>0</v>
      </c>
      <c r="Q70" s="73">
        <f t="shared" ca="1" si="18"/>
        <v>0</v>
      </c>
      <c r="R70" s="77"/>
      <c r="S70" s="75"/>
      <c r="T70" s="75"/>
      <c r="U70" s="75"/>
      <c r="V70" s="76"/>
      <c r="W70" s="76"/>
      <c r="X70" s="76"/>
      <c r="Y70" s="134">
        <f t="shared" si="8"/>
        <v>53</v>
      </c>
    </row>
    <row r="71" spans="1:25" x14ac:dyDescent="0.3">
      <c r="A71" s="64" t="s">
        <v>739</v>
      </c>
      <c r="B71" s="64" t="s">
        <v>752</v>
      </c>
      <c r="C71" s="71">
        <f>SUMIFS(Grille!R:R,Grille!A:A,Grille_HT4!A71,Grille!C:C,Grille_HT4!B71,Grille!H:H,"Majeur")</f>
        <v>14</v>
      </c>
      <c r="D71" s="71">
        <f ca="1">SUMIFS(Grille!Q:Q,Grille!A:A,Grille_HT4!A71,Grille!C:C,Grille_HT4!B71,Grille!H:H,"Majeur")</f>
        <v>14</v>
      </c>
      <c r="E71" s="71">
        <f ca="1">SUMIFS(Grille!N:N,Grille!A:A,Grille_HT4!A71,Grille!C:C,Grille_HT4!B71,Grille!H:H,"Majeur")</f>
        <v>0</v>
      </c>
      <c r="F71" s="72">
        <f t="shared" ca="1" si="13"/>
        <v>0</v>
      </c>
      <c r="G71" s="71">
        <f>SUMIFS(Grille!R:R,Grille!A:A,Grille_HT4!A71,Grille!C:C,Grille_HT4!B71,Grille!H:H,"Mineur")</f>
        <v>0</v>
      </c>
      <c r="H71" s="71">
        <f>SUMIFS(Grille!Q:Q,Grille!A:A,Grille_HT4!A71,Grille!C:C,Grille_HT4!B71,Grille!H:H,"Mineur")</f>
        <v>0</v>
      </c>
      <c r="I71" s="71">
        <f>SUMIFS(Grille!N:N,Grille!A:A,Grille_HT4!A71,Grille!C:C,Grille_HT4!B71,Grille!H:H,"Mineur")</f>
        <v>0</v>
      </c>
      <c r="J71" s="72" t="str">
        <f t="shared" si="14"/>
        <v>Non appliqué</v>
      </c>
      <c r="K71" s="71">
        <v>5</v>
      </c>
      <c r="L71" s="73">
        <f t="shared" ca="1" si="15"/>
        <v>0.05</v>
      </c>
      <c r="M71" s="73" t="str">
        <f t="shared" si="16"/>
        <v>Non appliqué</v>
      </c>
      <c r="N71" s="73">
        <f t="shared" ca="1" si="11"/>
        <v>0</v>
      </c>
      <c r="O71" s="73">
        <f t="shared" ca="1" si="17"/>
        <v>0</v>
      </c>
      <c r="P71" s="73" t="str">
        <f t="shared" si="12"/>
        <v>Non appliqué</v>
      </c>
      <c r="Q71" s="73">
        <f t="shared" ca="1" si="18"/>
        <v>0</v>
      </c>
      <c r="R71" s="77"/>
      <c r="S71" s="75"/>
      <c r="T71" s="75"/>
      <c r="U71" s="75"/>
      <c r="V71" s="76"/>
      <c r="W71" s="76"/>
      <c r="X71" s="76"/>
      <c r="Y71" s="134">
        <f t="shared" ref="Y71:Y91" si="19">Y70+1</f>
        <v>54</v>
      </c>
    </row>
    <row r="72" spans="1:25" ht="25.2" x14ac:dyDescent="0.3">
      <c r="A72" s="64" t="s">
        <v>739</v>
      </c>
      <c r="B72" s="64" t="s">
        <v>753</v>
      </c>
      <c r="C72" s="71">
        <f>SUMIFS(Grille!R:R,Grille!A:A,Grille_HT4!A72,Grille!C:C,Grille_HT4!B72,Grille!H:H,"Majeur")</f>
        <v>14</v>
      </c>
      <c r="D72" s="71">
        <f ca="1">SUMIFS(Grille!Q:Q,Grille!A:A,Grille_HT4!A72,Grille!C:C,Grille_HT4!B72,Grille!H:H,"Majeur")</f>
        <v>14</v>
      </c>
      <c r="E72" s="71">
        <f ca="1">SUMIFS(Grille!N:N,Grille!A:A,Grille_HT4!A72,Grille!C:C,Grille_HT4!B72,Grille!H:H,"Majeur")</f>
        <v>0</v>
      </c>
      <c r="F72" s="72">
        <f t="shared" ca="1" si="13"/>
        <v>0</v>
      </c>
      <c r="G72" s="71">
        <f>SUMIFS(Grille!R:R,Grille!A:A,Grille_HT4!A72,Grille!C:C,Grille_HT4!B72,Grille!H:H,"Mineur")</f>
        <v>6</v>
      </c>
      <c r="H72" s="71">
        <f ca="1">SUMIFS(Grille!Q:Q,Grille!A:A,Grille_HT4!A72,Grille!C:C,Grille_HT4!B72,Grille!H:H,"Mineur")</f>
        <v>6</v>
      </c>
      <c r="I72" s="71">
        <f ca="1">SUMIFS(Grille!N:N,Grille!A:A,Grille_HT4!A72,Grille!C:C,Grille_HT4!B72,Grille!H:H,"Mineur")</f>
        <v>0</v>
      </c>
      <c r="J72" s="72">
        <f t="shared" ca="1" si="14"/>
        <v>0</v>
      </c>
      <c r="K72" s="71">
        <v>7.5</v>
      </c>
      <c r="L72" s="73">
        <f t="shared" ca="1" si="15"/>
        <v>7.4999999999999997E-2</v>
      </c>
      <c r="M72" s="73">
        <f t="shared" ca="1" si="16"/>
        <v>0.17647058823529413</v>
      </c>
      <c r="N72" s="73">
        <f t="shared" ca="1" si="11"/>
        <v>0</v>
      </c>
      <c r="O72" s="73">
        <f t="shared" ca="1" si="17"/>
        <v>0</v>
      </c>
      <c r="P72" s="73">
        <f t="shared" ca="1" si="12"/>
        <v>0</v>
      </c>
      <c r="Q72" s="73">
        <f t="shared" ca="1" si="18"/>
        <v>0</v>
      </c>
      <c r="R72" s="77"/>
      <c r="S72" s="75"/>
      <c r="T72" s="75"/>
      <c r="U72" s="75"/>
      <c r="V72" s="76"/>
      <c r="W72" s="76"/>
      <c r="X72" s="76"/>
      <c r="Y72" s="134">
        <f t="shared" si="19"/>
        <v>55</v>
      </c>
    </row>
    <row r="73" spans="1:25" x14ac:dyDescent="0.3">
      <c r="A73" s="64" t="s">
        <v>739</v>
      </c>
      <c r="B73" s="64" t="s">
        <v>755</v>
      </c>
      <c r="C73" s="71">
        <f>SUMIFS(Grille!R:R,Grille!A:A,Grille_HT4!A73,Grille!C:C,Grille_HT4!B73,Grille!H:H,"Majeur")</f>
        <v>10</v>
      </c>
      <c r="D73" s="71">
        <f ca="1">SUMIFS(Grille!Q:Q,Grille!A:A,Grille_HT4!A73,Grille!C:C,Grille_HT4!B73,Grille!H:H,"Majeur")</f>
        <v>10</v>
      </c>
      <c r="E73" s="71">
        <f ca="1">SUMIFS(Grille!N:N,Grille!A:A,Grille_HT4!A73,Grille!C:C,Grille_HT4!B73,Grille!H:H,"Majeur")</f>
        <v>0</v>
      </c>
      <c r="F73" s="72">
        <f t="shared" ca="1" si="13"/>
        <v>0</v>
      </c>
      <c r="G73" s="71">
        <f>SUMIFS(Grille!R:R,Grille!A:A,Grille_HT4!A73,Grille!C:C,Grille_HT4!B73,Grille!H:H,"Mineur")</f>
        <v>14</v>
      </c>
      <c r="H73" s="71">
        <f ca="1">SUMIFS(Grille!Q:Q,Grille!A:A,Grille_HT4!A73,Grille!C:C,Grille_HT4!B73,Grille!H:H,"Mineur")</f>
        <v>14</v>
      </c>
      <c r="I73" s="71">
        <f ca="1">SUMIFS(Grille!N:N,Grille!A:A,Grille_HT4!A73,Grille!C:C,Grille_HT4!B73,Grille!H:H,"Mineur")</f>
        <v>0</v>
      </c>
      <c r="J73" s="72">
        <f t="shared" ca="1" si="14"/>
        <v>0</v>
      </c>
      <c r="K73" s="71">
        <v>10</v>
      </c>
      <c r="L73" s="73">
        <f t="shared" ca="1" si="15"/>
        <v>0.1</v>
      </c>
      <c r="M73" s="73">
        <f t="shared" ca="1" si="16"/>
        <v>0.23529411764705882</v>
      </c>
      <c r="N73" s="73">
        <f t="shared" ca="1" si="11"/>
        <v>0</v>
      </c>
      <c r="O73" s="73">
        <f t="shared" ca="1" si="17"/>
        <v>0</v>
      </c>
      <c r="P73" s="73">
        <f t="shared" ca="1" si="12"/>
        <v>0</v>
      </c>
      <c r="Q73" s="73">
        <f t="shared" ca="1" si="18"/>
        <v>0</v>
      </c>
      <c r="R73" s="77"/>
      <c r="S73" s="75"/>
      <c r="T73" s="75"/>
      <c r="U73" s="75"/>
      <c r="V73" s="76"/>
      <c r="W73" s="76"/>
      <c r="X73" s="76"/>
      <c r="Y73" s="134">
        <f t="shared" si="19"/>
        <v>56</v>
      </c>
    </row>
    <row r="74" spans="1:25" x14ac:dyDescent="0.3">
      <c r="A74" s="64" t="s">
        <v>739</v>
      </c>
      <c r="B74" s="64" t="s">
        <v>756</v>
      </c>
      <c r="C74" s="71">
        <f>SUMIFS(Grille!R:R,Grille!A:A,Grille_HT4!A74,Grille!C:C,Grille_HT4!B74,Grille!H:H,"Majeur")</f>
        <v>4</v>
      </c>
      <c r="D74" s="71">
        <f ca="1">SUMIFS(Grille!Q:Q,Grille!A:A,Grille_HT4!A74,Grille!C:C,Grille_HT4!B74,Grille!H:H,"Majeur")</f>
        <v>4</v>
      </c>
      <c r="E74" s="71">
        <f ca="1">SUMIFS(Grille!N:N,Grille!A:A,Grille_HT4!A74,Grille!C:C,Grille_HT4!B74,Grille!H:H,"Majeur")</f>
        <v>0</v>
      </c>
      <c r="F74" s="72">
        <f t="shared" ca="1" si="13"/>
        <v>0</v>
      </c>
      <c r="G74" s="71">
        <f>SUMIFS(Grille!R:R,Grille!A:A,Grille_HT4!A74,Grille!C:C,Grille_HT4!B74,Grille!H:H,"Mineur")</f>
        <v>4</v>
      </c>
      <c r="H74" s="71">
        <f ca="1">SUMIFS(Grille!Q:Q,Grille!A:A,Grille_HT4!A74,Grille!C:C,Grille_HT4!B74,Grille!H:H,"Mineur")</f>
        <v>4</v>
      </c>
      <c r="I74" s="71">
        <f ca="1">SUMIFS(Grille!N:N,Grille!A:A,Grille_HT4!A74,Grille!C:C,Grille_HT4!B74,Grille!H:H,"Mineur")</f>
        <v>0</v>
      </c>
      <c r="J74" s="72">
        <f t="shared" ca="1" si="14"/>
        <v>0</v>
      </c>
      <c r="K74" s="71">
        <v>10</v>
      </c>
      <c r="L74" s="73">
        <f t="shared" ca="1" si="15"/>
        <v>0.1</v>
      </c>
      <c r="M74" s="73">
        <f t="shared" ca="1" si="16"/>
        <v>0.23529411764705882</v>
      </c>
      <c r="N74" s="73">
        <f t="shared" ca="1" si="11"/>
        <v>0</v>
      </c>
      <c r="O74" s="73">
        <f t="shared" ca="1" si="17"/>
        <v>0</v>
      </c>
      <c r="P74" s="73">
        <f t="shared" ca="1" si="12"/>
        <v>0</v>
      </c>
      <c r="Q74" s="73">
        <f t="shared" ca="1" si="18"/>
        <v>0</v>
      </c>
      <c r="R74" s="77"/>
      <c r="S74" s="75"/>
      <c r="T74" s="75"/>
      <c r="U74" s="75"/>
      <c r="V74" s="76"/>
      <c r="W74" s="76"/>
      <c r="X74" s="76"/>
      <c r="Y74" s="134">
        <f t="shared" si="19"/>
        <v>57</v>
      </c>
    </row>
    <row r="75" spans="1:25" x14ac:dyDescent="0.3">
      <c r="A75" s="4"/>
      <c r="B75" s="4" t="str">
        <f>A76</f>
        <v>Salle de bain et toilettes</v>
      </c>
      <c r="C75" s="5"/>
      <c r="D75" s="5"/>
      <c r="E75" s="5"/>
      <c r="F75" s="5"/>
      <c r="G75" s="9"/>
      <c r="H75" s="9"/>
      <c r="I75" s="9"/>
      <c r="J75" s="6"/>
      <c r="K75" s="5"/>
      <c r="L75" s="5"/>
      <c r="M75" s="5"/>
      <c r="N75" s="6"/>
      <c r="O75" s="6"/>
      <c r="P75" s="6"/>
      <c r="Q75" s="6"/>
      <c r="R75" s="70">
        <v>10</v>
      </c>
      <c r="S75" s="7">
        <f t="shared" ref="S75:S88" ca="1" si="20">IF(SUMIF($A:$A,$A76,D:D)&gt;0,R75/SUM($R:$R),O76)</f>
        <v>0.1</v>
      </c>
      <c r="T75" s="7">
        <f ca="1">IFERROR(S75/SUM(S:S),S75)</f>
        <v>0.12195121951219513</v>
      </c>
      <c r="U75" s="7">
        <f ca="1">IFERROR(T75*O76,T75)</f>
        <v>0</v>
      </c>
      <c r="V75" s="7">
        <f t="shared" ref="V75:V88" ca="1" si="21">IF(SUMIF($A:$A,$A76,H:H)&gt;0,R75/SUM(R:R),Q76)</f>
        <v>0.1</v>
      </c>
      <c r="W75" s="7">
        <f ca="1">IFERROR(V75/SUM(V:V),V75)</f>
        <v>0.10101010101010102</v>
      </c>
      <c r="X75" s="7">
        <f ca="1">IFERROR(W75*Q76,W75)</f>
        <v>0</v>
      </c>
    </row>
    <row r="76" spans="1:25" x14ac:dyDescent="0.3">
      <c r="A76" s="64" t="s">
        <v>757</v>
      </c>
      <c r="B76" s="64" t="s">
        <v>682</v>
      </c>
      <c r="C76" s="71">
        <f>SUMIFS(Grille!R:R,Grille!A:A,Grille_HT4!A76,Grille!C:C,Grille_HT4!B76,Grille!H:H,"Majeur")</f>
        <v>10</v>
      </c>
      <c r="D76" s="71">
        <f ca="1">SUMIFS(Grille!Q:Q,Grille!A:A,Grille_HT4!A76,Grille!C:C,Grille_HT4!B76,Grille!H:H,"Majeur")</f>
        <v>10</v>
      </c>
      <c r="E76" s="71">
        <f ca="1">SUMIFS(Grille!N:N,Grille!A:A,Grille_HT4!A76,Grille!C:C,Grille_HT4!B76,Grille!H:H,"Majeur")</f>
        <v>0</v>
      </c>
      <c r="F76" s="72">
        <f t="shared" ca="1" si="13"/>
        <v>0</v>
      </c>
      <c r="G76" s="71">
        <f>SUMIFS(Grille!R:R,Grille!A:A,Grille_HT4!A76,Grille!C:C,Grille_HT4!B76,Grille!H:H,"Mineur")</f>
        <v>1</v>
      </c>
      <c r="H76" s="71">
        <f ca="1">SUMIFS(Grille!Q:Q,Grille!A:A,Grille_HT4!A76,Grille!C:C,Grille_HT4!B76,Grille!H:H,"Mineur")</f>
        <v>1</v>
      </c>
      <c r="I76" s="71">
        <f ca="1">SUMIFS(Grille!N:N,Grille!A:A,Grille_HT4!A76,Grille!C:C,Grille_HT4!B76,Grille!H:H,"Mineur")</f>
        <v>0</v>
      </c>
      <c r="J76" s="72">
        <f t="shared" ca="1" si="14"/>
        <v>0</v>
      </c>
      <c r="K76" s="71">
        <v>10</v>
      </c>
      <c r="L76" s="73">
        <f t="shared" ca="1" si="15"/>
        <v>0.10989010989010989</v>
      </c>
      <c r="M76" s="73">
        <f t="shared" ca="1" si="16"/>
        <v>9.9009900990099015E-2</v>
      </c>
      <c r="N76" s="73">
        <f t="shared" ref="N76:N83" ca="1" si="22">IF(ISNUMBER(F76),F76*L76,F76)</f>
        <v>0</v>
      </c>
      <c r="O76" s="73">
        <f t="shared" ca="1" si="17"/>
        <v>0</v>
      </c>
      <c r="P76" s="73">
        <f t="shared" ref="P76:P83" ca="1" si="23">IF(ISNUMBER(J76),J76*M76,J76)</f>
        <v>0</v>
      </c>
      <c r="Q76" s="73">
        <f t="shared" ca="1" si="18"/>
        <v>0</v>
      </c>
      <c r="R76" s="77"/>
      <c r="S76" s="75"/>
      <c r="T76" s="75"/>
      <c r="U76" s="75"/>
      <c r="V76" s="76"/>
      <c r="W76" s="76"/>
      <c r="X76" s="76"/>
      <c r="Y76" s="134">
        <f>Y74+1</f>
        <v>58</v>
      </c>
    </row>
    <row r="77" spans="1:25" x14ac:dyDescent="0.3">
      <c r="A77" s="64" t="s">
        <v>757</v>
      </c>
      <c r="B77" s="64" t="s">
        <v>675</v>
      </c>
      <c r="C77" s="71">
        <f>SUMIFS(Grille!R:R,Grille!A:A,Grille_HT4!A77,Grille!C:C,Grille_HT4!B77,Grille!H:H,"Majeur")</f>
        <v>13</v>
      </c>
      <c r="D77" s="71">
        <f ca="1">SUMIFS(Grille!Q:Q,Grille!A:A,Grille_HT4!A77,Grille!C:C,Grille_HT4!B77,Grille!H:H,"Majeur")</f>
        <v>13</v>
      </c>
      <c r="E77" s="71">
        <f ca="1">SUMIFS(Grille!N:N,Grille!A:A,Grille_HT4!A77,Grille!C:C,Grille_HT4!B77,Grille!H:H,"Majeur")</f>
        <v>0</v>
      </c>
      <c r="F77" s="72">
        <f t="shared" ca="1" si="13"/>
        <v>0</v>
      </c>
      <c r="G77" s="71">
        <f>SUMIFS(Grille!R:R,Grille!A:A,Grille_HT4!A77,Grille!C:C,Grille_HT4!B77,Grille!H:H,"Mineur")</f>
        <v>4</v>
      </c>
      <c r="H77" s="71">
        <f ca="1">SUMIFS(Grille!Q:Q,Grille!A:A,Grille_HT4!A77,Grille!C:C,Grille_HT4!B77,Grille!H:H,"Mineur")</f>
        <v>4</v>
      </c>
      <c r="I77" s="71">
        <f ca="1">SUMIFS(Grille!N:N,Grille!A:A,Grille_HT4!A77,Grille!C:C,Grille_HT4!B77,Grille!H:H,"Mineur")</f>
        <v>0</v>
      </c>
      <c r="J77" s="72">
        <f t="shared" ca="1" si="14"/>
        <v>0</v>
      </c>
      <c r="K77" s="71">
        <v>10</v>
      </c>
      <c r="L77" s="73">
        <f t="shared" ca="1" si="15"/>
        <v>0.10989010989010989</v>
      </c>
      <c r="M77" s="73">
        <f t="shared" ca="1" si="16"/>
        <v>9.9009900990099015E-2</v>
      </c>
      <c r="N77" s="73">
        <f t="shared" ca="1" si="22"/>
        <v>0</v>
      </c>
      <c r="O77" s="73">
        <f t="shared" ca="1" si="17"/>
        <v>0</v>
      </c>
      <c r="P77" s="73">
        <f t="shared" ca="1" si="23"/>
        <v>0</v>
      </c>
      <c r="Q77" s="73">
        <f t="shared" ca="1" si="18"/>
        <v>0</v>
      </c>
      <c r="R77" s="77"/>
      <c r="S77" s="75"/>
      <c r="T77" s="75"/>
      <c r="U77" s="75"/>
      <c r="V77" s="76"/>
      <c r="W77" s="76"/>
      <c r="X77" s="76"/>
      <c r="Y77" s="134">
        <f t="shared" si="19"/>
        <v>59</v>
      </c>
    </row>
    <row r="78" spans="1:25" x14ac:dyDescent="0.3">
      <c r="A78" s="64" t="s">
        <v>757</v>
      </c>
      <c r="B78" s="64" t="s">
        <v>759</v>
      </c>
      <c r="C78" s="71">
        <f>SUMIFS(Grille!R:R,Grille!A:A,Grille_HT4!A78,Grille!C:C,Grille_HT4!B78,Grille!H:H,"Majeur")</f>
        <v>24</v>
      </c>
      <c r="D78" s="71">
        <f ca="1">SUMIFS(Grille!Q:Q,Grille!A:A,Grille_HT4!A78,Grille!C:C,Grille_HT4!B78,Grille!H:H,"Majeur")</f>
        <v>24</v>
      </c>
      <c r="E78" s="71">
        <f ca="1">SUMIFS(Grille!N:N,Grille!A:A,Grille_HT4!A78,Grille!C:C,Grille_HT4!B78,Grille!H:H,"Majeur")</f>
        <v>0</v>
      </c>
      <c r="F78" s="72">
        <f t="shared" ca="1" si="13"/>
        <v>0</v>
      </c>
      <c r="G78" s="71">
        <f>SUMIFS(Grille!R:R,Grille!A:A,Grille_HT4!A78,Grille!C:C,Grille_HT4!B78,Grille!H:H,"Mineur")</f>
        <v>5</v>
      </c>
      <c r="H78" s="71">
        <f ca="1">SUMIFS(Grille!Q:Q,Grille!A:A,Grille_HT4!A78,Grille!C:C,Grille_HT4!B78,Grille!H:H,"Mineur")</f>
        <v>5</v>
      </c>
      <c r="I78" s="71">
        <f ca="1">SUMIFS(Grille!N:N,Grille!A:A,Grille_HT4!A78,Grille!C:C,Grille_HT4!B78,Grille!H:H,"Mineur")</f>
        <v>0</v>
      </c>
      <c r="J78" s="72">
        <f t="shared" ca="1" si="14"/>
        <v>0</v>
      </c>
      <c r="K78" s="71">
        <v>20</v>
      </c>
      <c r="L78" s="73">
        <f t="shared" ca="1" si="15"/>
        <v>0.21978021978021978</v>
      </c>
      <c r="M78" s="73">
        <f t="shared" ca="1" si="16"/>
        <v>0.19801980198019803</v>
      </c>
      <c r="N78" s="73">
        <f t="shared" ca="1" si="22"/>
        <v>0</v>
      </c>
      <c r="O78" s="73">
        <f t="shared" ca="1" si="17"/>
        <v>0</v>
      </c>
      <c r="P78" s="73">
        <f t="shared" ca="1" si="23"/>
        <v>0</v>
      </c>
      <c r="Q78" s="73">
        <f t="shared" ca="1" si="18"/>
        <v>0</v>
      </c>
      <c r="R78" s="77"/>
      <c r="S78" s="75"/>
      <c r="T78" s="75"/>
      <c r="U78" s="75"/>
      <c r="V78" s="76"/>
      <c r="W78" s="76"/>
      <c r="X78" s="76"/>
      <c r="Y78" s="134">
        <f t="shared" si="19"/>
        <v>60</v>
      </c>
    </row>
    <row r="79" spans="1:25" x14ac:dyDescent="0.3">
      <c r="A79" s="64" t="s">
        <v>757</v>
      </c>
      <c r="B79" s="64" t="s">
        <v>761</v>
      </c>
      <c r="C79" s="71">
        <f>SUMIFS(Grille!R:R,Grille!A:A,Grille_HT4!A79,Grille!C:C,Grille_HT4!B79,Grille!H:H,"Majeur")</f>
        <v>0</v>
      </c>
      <c r="D79" s="71">
        <f>SUMIFS(Grille!Q:Q,Grille!A:A,Grille_HT4!A79,Grille!C:C,Grille_HT4!B79,Grille!H:H,"Majeur")</f>
        <v>0</v>
      </c>
      <c r="E79" s="71">
        <f>SUMIFS(Grille!N:N,Grille!A:A,Grille_HT4!A79,Grille!C:C,Grille_HT4!B79,Grille!H:H,"Majeur")</f>
        <v>0</v>
      </c>
      <c r="F79" s="72" t="str">
        <f t="shared" si="13"/>
        <v>Non appliqué</v>
      </c>
      <c r="G79" s="71">
        <f>SUMIFS(Grille!R:R,Grille!A:A,Grille_HT4!A79,Grille!C:C,Grille_HT4!B79,Grille!H:H,"Mineur")</f>
        <v>18</v>
      </c>
      <c r="H79" s="71">
        <f ca="1">SUMIFS(Grille!Q:Q,Grille!A:A,Grille_HT4!A79,Grille!C:C,Grille_HT4!B79,Grille!H:H,"Mineur")</f>
        <v>18</v>
      </c>
      <c r="I79" s="71">
        <f ca="1">SUMIFS(Grille!N:N,Grille!A:A,Grille_HT4!A79,Grille!C:C,Grille_HT4!B79,Grille!H:H,"Mineur")</f>
        <v>0</v>
      </c>
      <c r="J79" s="72">
        <f t="shared" ca="1" si="14"/>
        <v>0</v>
      </c>
      <c r="K79" s="71">
        <v>10</v>
      </c>
      <c r="L79" s="73" t="str">
        <f t="shared" si="15"/>
        <v>Non appliqué</v>
      </c>
      <c r="M79" s="73">
        <f t="shared" ca="1" si="16"/>
        <v>9.9009900990099015E-2</v>
      </c>
      <c r="N79" s="73" t="str">
        <f t="shared" si="22"/>
        <v>Non appliqué</v>
      </c>
      <c r="O79" s="73">
        <f t="shared" ca="1" si="17"/>
        <v>0</v>
      </c>
      <c r="P79" s="73">
        <f t="shared" ca="1" si="23"/>
        <v>0</v>
      </c>
      <c r="Q79" s="73">
        <f t="shared" ca="1" si="18"/>
        <v>0</v>
      </c>
      <c r="R79" s="77"/>
      <c r="S79" s="75"/>
      <c r="T79" s="75"/>
      <c r="U79" s="75"/>
      <c r="V79" s="76"/>
      <c r="W79" s="76"/>
      <c r="X79" s="76"/>
      <c r="Y79" s="134">
        <f t="shared" si="19"/>
        <v>61</v>
      </c>
    </row>
    <row r="80" spans="1:25" ht="25.2" x14ac:dyDescent="0.3">
      <c r="A80" s="64" t="s">
        <v>757</v>
      </c>
      <c r="B80" s="64" t="s">
        <v>762</v>
      </c>
      <c r="C80" s="71">
        <f>SUMIFS(Grille!R:R,Grille!A:A,Grille_HT4!A80,Grille!C:C,Grille_HT4!B80,Grille!H:H,"Majeur")</f>
        <v>14</v>
      </c>
      <c r="D80" s="71">
        <f ca="1">SUMIFS(Grille!Q:Q,Grille!A:A,Grille_HT4!A80,Grille!C:C,Grille_HT4!B80,Grille!H:H,"Majeur")</f>
        <v>14</v>
      </c>
      <c r="E80" s="71">
        <f ca="1">SUMIFS(Grille!N:N,Grille!A:A,Grille_HT4!A80,Grille!C:C,Grille_HT4!B80,Grille!H:H,"Majeur")</f>
        <v>0</v>
      </c>
      <c r="F80" s="72">
        <f t="shared" ca="1" si="13"/>
        <v>0</v>
      </c>
      <c r="G80" s="71">
        <f>SUMIFS(Grille!R:R,Grille!A:A,Grille_HT4!A80,Grille!C:C,Grille_HT4!B80,Grille!H:H,"Mineur")</f>
        <v>2</v>
      </c>
      <c r="H80" s="71">
        <f ca="1">SUMIFS(Grille!Q:Q,Grille!A:A,Grille_HT4!A80,Grille!C:C,Grille_HT4!B80,Grille!H:H,"Mineur")</f>
        <v>2</v>
      </c>
      <c r="I80" s="71">
        <f ca="1">SUMIFS(Grille!N:N,Grille!A:A,Grille_HT4!A80,Grille!C:C,Grille_HT4!B80,Grille!H:H,"Mineur")</f>
        <v>0</v>
      </c>
      <c r="J80" s="72">
        <f t="shared" ca="1" si="14"/>
        <v>0</v>
      </c>
      <c r="K80" s="71">
        <v>10</v>
      </c>
      <c r="L80" s="73">
        <f t="shared" ca="1" si="15"/>
        <v>0.10989010989010989</v>
      </c>
      <c r="M80" s="73">
        <f t="shared" ca="1" si="16"/>
        <v>9.9009900990099015E-2</v>
      </c>
      <c r="N80" s="73">
        <f t="shared" ca="1" si="22"/>
        <v>0</v>
      </c>
      <c r="O80" s="73">
        <f t="shared" ca="1" si="17"/>
        <v>0</v>
      </c>
      <c r="P80" s="73">
        <f t="shared" ca="1" si="23"/>
        <v>0</v>
      </c>
      <c r="Q80" s="73">
        <f t="shared" ca="1" si="18"/>
        <v>0</v>
      </c>
      <c r="R80" s="77"/>
      <c r="S80" s="75"/>
      <c r="T80" s="75"/>
      <c r="U80" s="75"/>
      <c r="V80" s="76"/>
      <c r="W80" s="76"/>
      <c r="X80" s="76"/>
      <c r="Y80" s="134">
        <f t="shared" si="19"/>
        <v>62</v>
      </c>
    </row>
    <row r="81" spans="1:25" x14ac:dyDescent="0.3">
      <c r="A81" s="64" t="s">
        <v>757</v>
      </c>
      <c r="B81" s="64" t="s">
        <v>763</v>
      </c>
      <c r="C81" s="71">
        <f>SUMIFS(Grille!R:R,Grille!A:A,Grille_HT4!A81,Grille!C:C,Grille_HT4!B81,Grille!H:H,"Majeur")</f>
        <v>14</v>
      </c>
      <c r="D81" s="71">
        <f ca="1">SUMIFS(Grille!Q:Q,Grille!A:A,Grille_HT4!A81,Grille!C:C,Grille_HT4!B81,Grille!H:H,"Majeur")</f>
        <v>14</v>
      </c>
      <c r="E81" s="71">
        <f ca="1">SUMIFS(Grille!N:N,Grille!A:A,Grille_HT4!A81,Grille!C:C,Grille_HT4!B81,Grille!H:H,"Majeur")</f>
        <v>0</v>
      </c>
      <c r="F81" s="72">
        <f t="shared" ca="1" si="13"/>
        <v>0</v>
      </c>
      <c r="G81" s="71">
        <f>SUMIFS(Grille!R:R,Grille!A:A,Grille_HT4!A81,Grille!C:C,Grille_HT4!B81,Grille!H:H,"Mineur")</f>
        <v>4</v>
      </c>
      <c r="H81" s="71">
        <f ca="1">SUMIFS(Grille!Q:Q,Grille!A:A,Grille_HT4!A81,Grille!C:C,Grille_HT4!B81,Grille!H:H,"Mineur")</f>
        <v>4</v>
      </c>
      <c r="I81" s="71">
        <f ca="1">SUMIFS(Grille!N:N,Grille!A:A,Grille_HT4!A81,Grille!C:C,Grille_HT4!B81,Grille!H:H,"Mineur")</f>
        <v>0</v>
      </c>
      <c r="J81" s="72">
        <f t="shared" ca="1" si="14"/>
        <v>0</v>
      </c>
      <c r="K81" s="71">
        <v>11</v>
      </c>
      <c r="L81" s="73">
        <f t="shared" ca="1" si="15"/>
        <v>0.12087912087912088</v>
      </c>
      <c r="M81" s="73">
        <f t="shared" ca="1" si="16"/>
        <v>0.10891089108910891</v>
      </c>
      <c r="N81" s="73">
        <f ca="1">IF(ISNUMBER(F81),F81*L81,F81)</f>
        <v>0</v>
      </c>
      <c r="O81" s="73">
        <f t="shared" ca="1" si="17"/>
        <v>0</v>
      </c>
      <c r="P81" s="73">
        <f ca="1">IF(ISNUMBER(J81),J81*M81,J81)</f>
        <v>0</v>
      </c>
      <c r="Q81" s="73">
        <f t="shared" ca="1" si="18"/>
        <v>0</v>
      </c>
      <c r="R81" s="77"/>
      <c r="S81" s="75"/>
      <c r="T81" s="75"/>
      <c r="U81" s="75"/>
      <c r="V81" s="76"/>
      <c r="W81" s="76"/>
      <c r="X81" s="76"/>
      <c r="Y81" s="134">
        <f t="shared" si="19"/>
        <v>63</v>
      </c>
    </row>
    <row r="82" spans="1:25" x14ac:dyDescent="0.3">
      <c r="A82" s="64" t="s">
        <v>757</v>
      </c>
      <c r="B82" s="64" t="s">
        <v>765</v>
      </c>
      <c r="C82" s="71">
        <f>SUMIFS(Grille!R:R,Grille!A:A,Grille_HT4!A82,Grille!C:C,Grille_HT4!B82,Grille!H:H,"Majeur")</f>
        <v>10</v>
      </c>
      <c r="D82" s="71">
        <f ca="1">SUMIFS(Grille!Q:Q,Grille!A:A,Grille_HT4!A82,Grille!C:C,Grille_HT4!B82,Grille!H:H,"Majeur")</f>
        <v>10</v>
      </c>
      <c r="E82" s="71">
        <f ca="1">SUMIFS(Grille!N:N,Grille!A:A,Grille_HT4!A82,Grille!C:C,Grille_HT4!B82,Grille!H:H,"Majeur")</f>
        <v>0</v>
      </c>
      <c r="F82" s="72">
        <f t="shared" ca="1" si="13"/>
        <v>0</v>
      </c>
      <c r="G82" s="71">
        <f>SUMIFS(Grille!R:R,Grille!A:A,Grille_HT4!A82,Grille!C:C,Grille_HT4!B82,Grille!H:H,"Mineur")</f>
        <v>3</v>
      </c>
      <c r="H82" s="71">
        <f ca="1">SUMIFS(Grille!Q:Q,Grille!A:A,Grille_HT4!A82,Grille!C:C,Grille_HT4!B82,Grille!H:H,"Mineur")</f>
        <v>3</v>
      </c>
      <c r="I82" s="71">
        <f ca="1">SUMIFS(Grille!N:N,Grille!A:A,Grille_HT4!A82,Grille!C:C,Grille_HT4!B82,Grille!H:H,"Mineur")</f>
        <v>0</v>
      </c>
      <c r="J82" s="72">
        <f t="shared" ca="1" si="14"/>
        <v>0</v>
      </c>
      <c r="K82" s="71">
        <v>10</v>
      </c>
      <c r="L82" s="73">
        <f t="shared" ca="1" si="15"/>
        <v>0.10989010989010989</v>
      </c>
      <c r="M82" s="73">
        <f t="shared" ca="1" si="16"/>
        <v>9.9009900990099015E-2</v>
      </c>
      <c r="N82" s="73">
        <f t="shared" ca="1" si="22"/>
        <v>0</v>
      </c>
      <c r="O82" s="73">
        <f t="shared" ca="1" si="17"/>
        <v>0</v>
      </c>
      <c r="P82" s="73">
        <f t="shared" ca="1" si="23"/>
        <v>0</v>
      </c>
      <c r="Q82" s="73">
        <f t="shared" ca="1" si="18"/>
        <v>0</v>
      </c>
      <c r="R82" s="77"/>
      <c r="S82" s="75"/>
      <c r="T82" s="75"/>
      <c r="U82" s="75"/>
      <c r="V82" s="76"/>
      <c r="W82" s="76"/>
      <c r="X82" s="76"/>
      <c r="Y82" s="134">
        <f t="shared" si="19"/>
        <v>64</v>
      </c>
    </row>
    <row r="83" spans="1:25" x14ac:dyDescent="0.3">
      <c r="A83" s="64" t="s">
        <v>757</v>
      </c>
      <c r="B83" s="64" t="s">
        <v>766</v>
      </c>
      <c r="C83" s="71">
        <f>SUMIFS(Grille!R:R,Grille!A:A,Grille_HT4!A83,Grille!C:C,Grille_HT4!B83,Grille!H:H,"Majeur")</f>
        <v>12</v>
      </c>
      <c r="D83" s="71">
        <f ca="1">SUMIFS(Grille!Q:Q,Grille!A:A,Grille_HT4!A83,Grille!C:C,Grille_HT4!B83,Grille!H:H,"Majeur")</f>
        <v>12</v>
      </c>
      <c r="E83" s="71">
        <f ca="1">SUMIFS(Grille!N:N,Grille!A:A,Grille_HT4!A83,Grille!C:C,Grille_HT4!B83,Grille!H:H,"Majeur")</f>
        <v>0</v>
      </c>
      <c r="F83" s="72">
        <f t="shared" ca="1" si="13"/>
        <v>0</v>
      </c>
      <c r="G83" s="71">
        <f>SUMIFS(Grille!R:R,Grille!A:A,Grille_HT4!A83,Grille!C:C,Grille_HT4!B83,Grille!H:H,"Mineur")</f>
        <v>5</v>
      </c>
      <c r="H83" s="71">
        <f ca="1">SUMIFS(Grille!Q:Q,Grille!A:A,Grille_HT4!A83,Grille!C:C,Grille_HT4!B83,Grille!H:H,"Mineur")</f>
        <v>5</v>
      </c>
      <c r="I83" s="71">
        <f ca="1">SUMIFS(Grille!N:N,Grille!A:A,Grille_HT4!A83,Grille!C:C,Grille_HT4!B83,Grille!H:H,"Mineur")</f>
        <v>0</v>
      </c>
      <c r="J83" s="72">
        <f t="shared" ca="1" si="14"/>
        <v>0</v>
      </c>
      <c r="K83" s="71">
        <v>20</v>
      </c>
      <c r="L83" s="73">
        <f t="shared" ca="1" si="15"/>
        <v>0.21978021978021978</v>
      </c>
      <c r="M83" s="73">
        <f t="shared" ca="1" si="16"/>
        <v>0.19801980198019803</v>
      </c>
      <c r="N83" s="73">
        <f t="shared" ca="1" si="22"/>
        <v>0</v>
      </c>
      <c r="O83" s="73">
        <f t="shared" ca="1" si="17"/>
        <v>0</v>
      </c>
      <c r="P83" s="73">
        <f t="shared" ca="1" si="23"/>
        <v>0</v>
      </c>
      <c r="Q83" s="73">
        <f t="shared" ca="1" si="18"/>
        <v>0</v>
      </c>
      <c r="R83" s="77"/>
      <c r="S83" s="75"/>
      <c r="T83" s="75"/>
      <c r="U83" s="75"/>
      <c r="V83" s="76"/>
      <c r="W83" s="76"/>
      <c r="X83" s="76"/>
      <c r="Y83" s="134">
        <f t="shared" si="19"/>
        <v>65</v>
      </c>
    </row>
    <row r="84" spans="1:25" x14ac:dyDescent="0.3">
      <c r="A84" s="4"/>
      <c r="B84" s="4" t="str">
        <f>A85</f>
        <v>Personnel</v>
      </c>
      <c r="C84" s="5"/>
      <c r="D84" s="5"/>
      <c r="E84" s="5"/>
      <c r="F84" s="5"/>
      <c r="G84" s="9"/>
      <c r="H84" s="9"/>
      <c r="I84" s="9"/>
      <c r="J84" s="6"/>
      <c r="K84" s="5"/>
      <c r="L84" s="5"/>
      <c r="M84" s="5"/>
      <c r="N84" s="6"/>
      <c r="O84" s="6"/>
      <c r="P84" s="6"/>
      <c r="Q84" s="6"/>
      <c r="R84" s="70">
        <v>2.5</v>
      </c>
      <c r="S84" s="7">
        <f t="shared" ca="1" si="20"/>
        <v>2.5000000000000001E-2</v>
      </c>
      <c r="T84" s="7">
        <f ca="1">IFERROR(S84/SUM(S:S),S84)</f>
        <v>3.0487804878048783E-2</v>
      </c>
      <c r="U84" s="7">
        <f ca="1">IFERROR(T84*O85,T84)</f>
        <v>0</v>
      </c>
      <c r="V84" s="7">
        <f t="shared" ca="1" si="21"/>
        <v>2.5000000000000001E-2</v>
      </c>
      <c r="W84" s="7">
        <f ca="1">IFERROR(V84/SUM(V:V),V84)</f>
        <v>2.5252525252525256E-2</v>
      </c>
      <c r="X84" s="7">
        <f ca="1">IFERROR(W84*Q85,W84)</f>
        <v>0</v>
      </c>
    </row>
    <row r="85" spans="1:25" x14ac:dyDescent="0.3">
      <c r="A85" s="64" t="s">
        <v>767</v>
      </c>
      <c r="B85" s="64" t="s">
        <v>768</v>
      </c>
      <c r="C85" s="71">
        <f>SUMIFS(Grille!R:R,Grille!A:A,Grille_HT4!A85,Grille!C:C,Grille_HT4!B85,Grille!H:H,"Majeur")</f>
        <v>46</v>
      </c>
      <c r="D85" s="71">
        <f ca="1">SUMIFS(Grille!Q:Q,Grille!A:A,Grille_HT4!A85,Grille!C:C,Grille_HT4!B85,Grille!H:H,"Majeur")</f>
        <v>46</v>
      </c>
      <c r="E85" s="71">
        <f ca="1">SUMIFS(Grille!N:N,Grille!A:A,Grille_HT4!A85,Grille!C:C,Grille_HT4!B85,Grille!H:H,"Majeur")</f>
        <v>0</v>
      </c>
      <c r="F85" s="72">
        <f t="shared" ca="1" si="13"/>
        <v>0</v>
      </c>
      <c r="G85" s="71">
        <f>SUMIFS(Grille!R:R,Grille!A:A,Grille_HT4!A85,Grille!C:C,Grille_HT4!B85,Grille!H:H,"Mineur")</f>
        <v>4</v>
      </c>
      <c r="H85" s="71">
        <f ca="1">SUMIFS(Grille!Q:Q,Grille!A:A,Grille_HT4!A85,Grille!C:C,Grille_HT4!B85,Grille!H:H,"Mineur")</f>
        <v>4</v>
      </c>
      <c r="I85" s="71">
        <f ca="1">SUMIFS(Grille!N:N,Grille!A:A,Grille_HT4!A85,Grille!C:C,Grille_HT4!B85,Grille!H:H,"Mineur")</f>
        <v>0</v>
      </c>
      <c r="J85" s="72">
        <f t="shared" ca="1" si="14"/>
        <v>0</v>
      </c>
      <c r="K85" s="71">
        <v>60</v>
      </c>
      <c r="L85" s="73">
        <f t="shared" ca="1" si="15"/>
        <v>0.66666666666666663</v>
      </c>
      <c r="M85" s="73">
        <f t="shared" ca="1" si="16"/>
        <v>0.8571428571428571</v>
      </c>
      <c r="N85" s="73">
        <f ca="1">IF(ISNUMBER(F85),F85*L85,F85)</f>
        <v>0</v>
      </c>
      <c r="O85" s="73">
        <f t="shared" ca="1" si="17"/>
        <v>0</v>
      </c>
      <c r="P85" s="73">
        <f ca="1">IF(ISNUMBER(J85),J85*M85,J85)</f>
        <v>0</v>
      </c>
      <c r="Q85" s="73">
        <f t="shared" ca="1" si="18"/>
        <v>0</v>
      </c>
      <c r="R85" s="77"/>
      <c r="S85" s="75"/>
      <c r="T85" s="75"/>
      <c r="U85" s="75"/>
      <c r="V85" s="76"/>
      <c r="W85" s="76"/>
      <c r="X85" s="76"/>
      <c r="Y85" s="134">
        <f>Y83+1</f>
        <v>66</v>
      </c>
    </row>
    <row r="86" spans="1:25" x14ac:dyDescent="0.3">
      <c r="A86" s="64" t="s">
        <v>767</v>
      </c>
      <c r="B86" s="64" t="s">
        <v>770</v>
      </c>
      <c r="C86" s="71">
        <f>SUMIFS(Grille!R:R,Grille!A:A,Grille_HT4!A86,Grille!C:C,Grille_HT4!B86,Grille!H:H,"Majeur")</f>
        <v>20</v>
      </c>
      <c r="D86" s="71">
        <f ca="1">SUMIFS(Grille!Q:Q,Grille!A:A,Grille_HT4!A86,Grille!C:C,Grille_HT4!B86,Grille!H:H,"Majeur")</f>
        <v>20</v>
      </c>
      <c r="E86" s="71">
        <f ca="1">SUMIFS(Grille!N:N,Grille!A:A,Grille_HT4!A86,Grille!C:C,Grille_HT4!B86,Grille!H:H,"Majeur")</f>
        <v>0</v>
      </c>
      <c r="F86" s="72">
        <f t="shared" ca="1" si="13"/>
        <v>0</v>
      </c>
      <c r="G86" s="71">
        <f>SUMIFS(Grille!R:R,Grille!A:A,Grille_HT4!A86,Grille!C:C,Grille_HT4!B86,Grille!H:H,"Mineur")</f>
        <v>0</v>
      </c>
      <c r="H86" s="71">
        <f>SUMIFS(Grille!Q:Q,Grille!A:A,Grille_HT4!A86,Grille!C:C,Grille_HT4!B86,Grille!H:H,"Mineur")</f>
        <v>0</v>
      </c>
      <c r="I86" s="71">
        <f>SUMIFS(Grille!N:N,Grille!A:A,Grille_HT4!A86,Grille!C:C,Grille_HT4!B86,Grille!H:H,"Mineur")</f>
        <v>0</v>
      </c>
      <c r="J86" s="72" t="str">
        <f t="shared" si="14"/>
        <v>Non appliqué</v>
      </c>
      <c r="K86" s="71">
        <v>30</v>
      </c>
      <c r="L86" s="73">
        <f t="shared" ca="1" si="15"/>
        <v>0.33333333333333331</v>
      </c>
      <c r="M86" s="73" t="str">
        <f t="shared" si="16"/>
        <v>Non appliqué</v>
      </c>
      <c r="N86" s="73">
        <f ca="1">IF(ISNUMBER(F86),F86*L86,F86)</f>
        <v>0</v>
      </c>
      <c r="O86" s="73">
        <f t="shared" ca="1" si="17"/>
        <v>0</v>
      </c>
      <c r="P86" s="73" t="str">
        <f>IF(ISNUMBER(J86),J86*M86,J86)</f>
        <v>Non appliqué</v>
      </c>
      <c r="Q86" s="73">
        <f t="shared" ca="1" si="18"/>
        <v>0</v>
      </c>
      <c r="R86" s="77"/>
      <c r="S86" s="75"/>
      <c r="T86" s="75"/>
      <c r="U86" s="75"/>
      <c r="V86" s="76"/>
      <c r="W86" s="76"/>
      <c r="X86" s="76"/>
      <c r="Y86" s="134">
        <f t="shared" si="19"/>
        <v>67</v>
      </c>
    </row>
    <row r="87" spans="1:25" ht="25.2" x14ac:dyDescent="0.3">
      <c r="A87" s="64" t="s">
        <v>767</v>
      </c>
      <c r="B87" s="64" t="s">
        <v>772</v>
      </c>
      <c r="C87" s="71">
        <f>SUMIFS(Grille!R:R,Grille!A:A,Grille_HT4!A87,Grille!C:C,Grille_HT4!B87,Grille!H:H,"Majeur")</f>
        <v>0</v>
      </c>
      <c r="D87" s="71">
        <f>SUMIFS(Grille!Q:Q,Grille!A:A,Grille_HT4!A87,Grille!C:C,Grille_HT4!B87,Grille!H:H,"Majeur")</f>
        <v>0</v>
      </c>
      <c r="E87" s="71">
        <f>SUMIFS(Grille!N:N,Grille!A:A,Grille_HT4!A87,Grille!C:C,Grille_HT4!B87,Grille!H:H,"Majeur")</f>
        <v>0</v>
      </c>
      <c r="F87" s="72" t="str">
        <f t="shared" si="13"/>
        <v>Non appliqué</v>
      </c>
      <c r="G87" s="71">
        <f>SUMIFS(Grille!R:R,Grille!A:A,Grille_HT4!A87,Grille!C:C,Grille_HT4!B87,Grille!H:H,"Mineur")</f>
        <v>3</v>
      </c>
      <c r="H87" s="71">
        <f ca="1">SUMIFS(Grille!Q:Q,Grille!A:A,Grille_HT4!A87,Grille!C:C,Grille_HT4!B87,Grille!H:H,"Mineur")</f>
        <v>3</v>
      </c>
      <c r="I87" s="71">
        <f ca="1">SUMIFS(Grille!N:N,Grille!A:A,Grille_HT4!A87,Grille!C:C,Grille_HT4!B87,Grille!H:H,"Mineur")</f>
        <v>0</v>
      </c>
      <c r="J87" s="72">
        <f t="shared" ca="1" si="14"/>
        <v>0</v>
      </c>
      <c r="K87" s="71">
        <v>10</v>
      </c>
      <c r="L87" s="73" t="str">
        <f t="shared" si="15"/>
        <v>Non appliqué</v>
      </c>
      <c r="M87" s="73">
        <f t="shared" ca="1" si="16"/>
        <v>0.14285714285714285</v>
      </c>
      <c r="N87" s="73" t="str">
        <f>IF(ISNUMBER(F87),F87*L87,F87)</f>
        <v>Non appliqué</v>
      </c>
      <c r="O87" s="73">
        <f t="shared" ca="1" si="17"/>
        <v>0</v>
      </c>
      <c r="P87" s="73">
        <f ca="1">IF(ISNUMBER(J87),J87*M87,J87)</f>
        <v>0</v>
      </c>
      <c r="Q87" s="73">
        <f t="shared" ca="1" si="18"/>
        <v>0</v>
      </c>
      <c r="R87" s="77"/>
      <c r="S87" s="75"/>
      <c r="T87" s="75"/>
      <c r="U87" s="75"/>
      <c r="V87" s="76"/>
      <c r="W87" s="76"/>
      <c r="X87" s="76"/>
      <c r="Y87" s="134">
        <f t="shared" si="19"/>
        <v>68</v>
      </c>
    </row>
    <row r="88" spans="1:25" ht="25.2" x14ac:dyDescent="0.3">
      <c r="A88" s="4"/>
      <c r="B88" s="4" t="str">
        <f>A89</f>
        <v>Electricité, eau et assainissement</v>
      </c>
      <c r="C88" s="5"/>
      <c r="D88" s="5"/>
      <c r="E88" s="5"/>
      <c r="F88" s="5"/>
      <c r="G88" s="9"/>
      <c r="H88" s="9"/>
      <c r="I88" s="9"/>
      <c r="J88" s="6"/>
      <c r="K88" s="5"/>
      <c r="L88" s="5"/>
      <c r="M88" s="5"/>
      <c r="N88" s="6"/>
      <c r="O88" s="6"/>
      <c r="P88" s="6"/>
      <c r="Q88" s="6"/>
      <c r="R88" s="70">
        <v>2.5</v>
      </c>
      <c r="S88" s="7">
        <f t="shared" ca="1" si="20"/>
        <v>2.5000000000000001E-2</v>
      </c>
      <c r="T88" s="7">
        <f ca="1">IFERROR(S88/SUM(S:S),S88)</f>
        <v>3.0487804878048783E-2</v>
      </c>
      <c r="U88" s="7">
        <f ca="1">IFERROR(T88*O89,T88)</f>
        <v>0</v>
      </c>
      <c r="V88" s="7">
        <f t="shared" ca="1" si="21"/>
        <v>2.5000000000000001E-2</v>
      </c>
      <c r="W88" s="7">
        <f ca="1">IFERROR(V88/SUM(V:V),V88)</f>
        <v>2.5252525252525256E-2</v>
      </c>
      <c r="X88" s="7">
        <f ca="1">IFERROR(W88*Q89,W88)</f>
        <v>0</v>
      </c>
    </row>
    <row r="89" spans="1:25" ht="25.2" x14ac:dyDescent="0.3">
      <c r="A89" s="64" t="s">
        <v>773</v>
      </c>
      <c r="B89" s="64" t="s">
        <v>775</v>
      </c>
      <c r="C89" s="71">
        <f>SUMIFS(Grille!R:R,Grille!A:A,Grille_HT4!A89,Grille!C:C,Grille_HT4!B89,Grille!H:H,"Majeur")</f>
        <v>8</v>
      </c>
      <c r="D89" s="71">
        <f ca="1">SUMIFS(Grille!Q:Q,Grille!A:A,Grille_HT4!A89,Grille!C:C,Grille_HT4!B89,Grille!H:H,"Majeur")</f>
        <v>8</v>
      </c>
      <c r="E89" s="71">
        <f ca="1">SUMIFS(Grille!N:N,Grille!A:A,Grille_HT4!A89,Grille!C:C,Grille_HT4!B89,Grille!H:H,"Majeur")</f>
        <v>0</v>
      </c>
      <c r="F89" s="72">
        <f t="shared" ca="1" si="13"/>
        <v>0</v>
      </c>
      <c r="G89" s="71">
        <f>SUMIFS(Grille!R:R,Grille!A:A,Grille_HT4!A89,Grille!C:C,Grille_HT4!B89,Grille!H:H,"Mineur")</f>
        <v>1</v>
      </c>
      <c r="H89" s="71">
        <f ca="1">SUMIFS(Grille!Q:Q,Grille!A:A,Grille_HT4!A89,Grille!C:C,Grille_HT4!B89,Grille!H:H,"Mineur")</f>
        <v>1</v>
      </c>
      <c r="I89" s="71">
        <f ca="1">SUMIFS(Grille!N:N,Grille!A:A,Grille_HT4!A89,Grille!C:C,Grille_HT4!B89,Grille!H:H,"Mineur")</f>
        <v>0</v>
      </c>
      <c r="J89" s="72">
        <f t="shared" ca="1" si="14"/>
        <v>0</v>
      </c>
      <c r="K89" s="71">
        <v>30</v>
      </c>
      <c r="L89" s="73">
        <f t="shared" ca="1" si="15"/>
        <v>0.3</v>
      </c>
      <c r="M89" s="73">
        <f t="shared" ca="1" si="16"/>
        <v>0.3</v>
      </c>
      <c r="N89" s="73">
        <f ca="1">IF(ISNUMBER(F89),F89*L89,F89)</f>
        <v>0</v>
      </c>
      <c r="O89" s="73">
        <f t="shared" ca="1" si="17"/>
        <v>0</v>
      </c>
      <c r="P89" s="73">
        <f ca="1">IF(ISNUMBER(J89),J89*M89,J89)</f>
        <v>0</v>
      </c>
      <c r="Q89" s="73">
        <f t="shared" ca="1" si="18"/>
        <v>0</v>
      </c>
      <c r="R89" s="77"/>
      <c r="S89" s="75"/>
      <c r="T89" s="75"/>
      <c r="U89" s="75"/>
      <c r="V89" s="76"/>
      <c r="W89" s="76"/>
      <c r="X89" s="76"/>
      <c r="Y89" s="134">
        <f>Y87+1</f>
        <v>69</v>
      </c>
    </row>
    <row r="90" spans="1:25" ht="25.2" x14ac:dyDescent="0.3">
      <c r="A90" s="64" t="s">
        <v>773</v>
      </c>
      <c r="B90" s="64" t="s">
        <v>776</v>
      </c>
      <c r="C90" s="71">
        <f>SUMIFS(Grille!R:R,Grille!A:A,Grille_HT4!A90,Grille!C:C,Grille_HT4!B90,Grille!H:H,"Majeur")</f>
        <v>8</v>
      </c>
      <c r="D90" s="71">
        <f ca="1">SUMIFS(Grille!Q:Q,Grille!A:A,Grille_HT4!A90,Grille!C:C,Grille_HT4!B90,Grille!H:H,"Majeur")</f>
        <v>8</v>
      </c>
      <c r="E90" s="71">
        <f ca="1">SUMIFS(Grille!N:N,Grille!A:A,Grille_HT4!A90,Grille!C:C,Grille_HT4!B90,Grille!H:H,"Majeur")</f>
        <v>0</v>
      </c>
      <c r="F90" s="72">
        <f t="shared" ca="1" si="13"/>
        <v>0</v>
      </c>
      <c r="G90" s="71">
        <f>SUMIFS(Grille!R:R,Grille!A:A,Grille_HT4!A90,Grille!C:C,Grille_HT4!B90,Grille!H:H,"Mineur")</f>
        <v>2</v>
      </c>
      <c r="H90" s="71">
        <f ca="1">SUMIFS(Grille!Q:Q,Grille!A:A,Grille_HT4!A90,Grille!C:C,Grille_HT4!B90,Grille!H:H,"Mineur")</f>
        <v>2</v>
      </c>
      <c r="I90" s="71">
        <f ca="1">SUMIFS(Grille!N:N,Grille!A:A,Grille_HT4!A90,Grille!C:C,Grille_HT4!B90,Grille!H:H,"Mineur")</f>
        <v>0</v>
      </c>
      <c r="J90" s="72">
        <f t="shared" ca="1" si="14"/>
        <v>0</v>
      </c>
      <c r="K90" s="71">
        <v>30</v>
      </c>
      <c r="L90" s="73">
        <f t="shared" ca="1" si="15"/>
        <v>0.3</v>
      </c>
      <c r="M90" s="73">
        <f t="shared" ca="1" si="16"/>
        <v>0.3</v>
      </c>
      <c r="N90" s="73">
        <f ca="1">IF(ISNUMBER(F90),F90*L90,F90)</f>
        <v>0</v>
      </c>
      <c r="O90" s="73">
        <f t="shared" ca="1" si="17"/>
        <v>0</v>
      </c>
      <c r="P90" s="73">
        <f ca="1">IF(ISNUMBER(J90),J90*M90,J90)</f>
        <v>0</v>
      </c>
      <c r="Q90" s="73">
        <f t="shared" ca="1" si="18"/>
        <v>0</v>
      </c>
      <c r="R90" s="77"/>
      <c r="S90" s="75"/>
      <c r="T90" s="75"/>
      <c r="U90" s="75"/>
      <c r="V90" s="76"/>
      <c r="W90" s="76"/>
      <c r="X90" s="76"/>
      <c r="Y90" s="134">
        <f t="shared" si="19"/>
        <v>70</v>
      </c>
    </row>
    <row r="91" spans="1:25" ht="25.2" x14ac:dyDescent="0.3">
      <c r="A91" s="64" t="s">
        <v>773</v>
      </c>
      <c r="B91" s="64" t="s">
        <v>777</v>
      </c>
      <c r="C91" s="71">
        <f>SUMIFS(Grille!R:R,Grille!A:A,Grille_HT4!A91,Grille!C:C,Grille_HT4!B91,Grille!H:H,"Majeur")</f>
        <v>6</v>
      </c>
      <c r="D91" s="71">
        <f ca="1">SUMIFS(Grille!Q:Q,Grille!A:A,Grille_HT4!A91,Grille!C:C,Grille_HT4!B91,Grille!H:H,"Majeur")</f>
        <v>6</v>
      </c>
      <c r="E91" s="71">
        <f ca="1">SUMIFS(Grille!N:N,Grille!A:A,Grille_HT4!A91,Grille!C:C,Grille_HT4!B91,Grille!H:H,"Majeur")</f>
        <v>0</v>
      </c>
      <c r="F91" s="72">
        <f t="shared" ca="1" si="13"/>
        <v>0</v>
      </c>
      <c r="G91" s="71">
        <f>SUMIFS(Grille!R:R,Grille!A:A,Grille_HT4!A91,Grille!C:C,Grille_HT4!B91,Grille!H:H,"Mineur")</f>
        <v>1</v>
      </c>
      <c r="H91" s="71">
        <f ca="1">SUMIFS(Grille!Q:Q,Grille!A:A,Grille_HT4!A91,Grille!C:C,Grille_HT4!B91,Grille!H:H,"Mineur")</f>
        <v>1</v>
      </c>
      <c r="I91" s="71">
        <f ca="1">SUMIFS(Grille!N:N,Grille!A:A,Grille_HT4!A91,Grille!C:C,Grille_HT4!B91,Grille!H:H,"Mineur")</f>
        <v>0</v>
      </c>
      <c r="J91" s="72">
        <f t="shared" ca="1" si="14"/>
        <v>0</v>
      </c>
      <c r="K91" s="71">
        <v>40</v>
      </c>
      <c r="L91" s="73">
        <f t="shared" ca="1" si="15"/>
        <v>0.4</v>
      </c>
      <c r="M91" s="73">
        <f t="shared" ca="1" si="16"/>
        <v>0.4</v>
      </c>
      <c r="N91" s="73">
        <f ca="1">IF(ISNUMBER(F91),F91*L91,F91)</f>
        <v>0</v>
      </c>
      <c r="O91" s="73">
        <f t="shared" ca="1" si="17"/>
        <v>0</v>
      </c>
      <c r="P91" s="73">
        <f ca="1">IF(ISNUMBER(J91),J91*M91,J91)</f>
        <v>0</v>
      </c>
      <c r="Q91" s="73">
        <f t="shared" ca="1" si="18"/>
        <v>0</v>
      </c>
      <c r="R91" s="77"/>
      <c r="S91" s="75"/>
      <c r="T91" s="75"/>
      <c r="U91" s="75"/>
      <c r="V91" s="76"/>
      <c r="W91" s="76"/>
      <c r="X91" s="76"/>
      <c r="Y91" s="134">
        <f t="shared" si="19"/>
        <v>71</v>
      </c>
    </row>
    <row r="156" spans="1:1" x14ac:dyDescent="0.3">
      <c r="A156" s="8" t="s">
        <v>654</v>
      </c>
    </row>
    <row r="157" spans="1:1" x14ac:dyDescent="0.3">
      <c r="A157" s="8" t="s">
        <v>657</v>
      </c>
    </row>
    <row r="158" spans="1:1" x14ac:dyDescent="0.3">
      <c r="A158" s="8" t="s">
        <v>658</v>
      </c>
    </row>
    <row r="159" spans="1:1" x14ac:dyDescent="0.3">
      <c r="A159" s="8" t="s">
        <v>661</v>
      </c>
    </row>
    <row r="160" spans="1:1" x14ac:dyDescent="0.3">
      <c r="A160" s="8" t="s">
        <v>662</v>
      </c>
    </row>
    <row r="161" spans="1:1" x14ac:dyDescent="0.3">
      <c r="A161" s="8" t="s">
        <v>664</v>
      </c>
    </row>
    <row r="162" spans="1:1" x14ac:dyDescent="0.3">
      <c r="A162" s="8" t="s">
        <v>667</v>
      </c>
    </row>
    <row r="163" spans="1:1" x14ac:dyDescent="0.3">
      <c r="A163" s="8" t="s">
        <v>668</v>
      </c>
    </row>
    <row r="164" spans="1:1" x14ac:dyDescent="0.3">
      <c r="A164" s="8" t="s">
        <v>671</v>
      </c>
    </row>
    <row r="165" spans="1:1" x14ac:dyDescent="0.3">
      <c r="A165" s="8" t="s">
        <v>673</v>
      </c>
    </row>
    <row r="166" spans="1:1" x14ac:dyDescent="0.3">
      <c r="A166" s="8" t="s">
        <v>675</v>
      </c>
    </row>
    <row r="167" spans="1:1" x14ac:dyDescent="0.3">
      <c r="A167" s="8" t="s">
        <v>677</v>
      </c>
    </row>
    <row r="168" spans="1:1" x14ac:dyDescent="0.3">
      <c r="A168" s="8" t="s">
        <v>678</v>
      </c>
    </row>
    <row r="169" spans="1:1" x14ac:dyDescent="0.3">
      <c r="A169" s="8" t="s">
        <v>682</v>
      </c>
    </row>
    <row r="170" spans="1:1" x14ac:dyDescent="0.3">
      <c r="A170" s="8" t="s">
        <v>685</v>
      </c>
    </row>
    <row r="171" spans="1:1" x14ac:dyDescent="0.3">
      <c r="A171" s="8" t="s">
        <v>701</v>
      </c>
    </row>
    <row r="172" spans="1:1" x14ac:dyDescent="0.3">
      <c r="A172" s="8" t="s">
        <v>702</v>
      </c>
    </row>
    <row r="173" spans="1:1" x14ac:dyDescent="0.3">
      <c r="A173" s="8" t="s">
        <v>703</v>
      </c>
    </row>
    <row r="174" spans="1:1" x14ac:dyDescent="0.3">
      <c r="A174" s="8" t="s">
        <v>706</v>
      </c>
    </row>
    <row r="175" spans="1:1" x14ac:dyDescent="0.3">
      <c r="A175" s="8" t="s">
        <v>707</v>
      </c>
    </row>
    <row r="176" spans="1:1" x14ac:dyDescent="0.3">
      <c r="A176" s="8" t="s">
        <v>709</v>
      </c>
    </row>
    <row r="177" spans="1:1" x14ac:dyDescent="0.3">
      <c r="A177" s="8" t="s">
        <v>710</v>
      </c>
    </row>
    <row r="178" spans="1:1" x14ac:dyDescent="0.3">
      <c r="A178" s="8" t="s">
        <v>712</v>
      </c>
    </row>
    <row r="179" spans="1:1" x14ac:dyDescent="0.3">
      <c r="A179" s="8" t="s">
        <v>715</v>
      </c>
    </row>
    <row r="180" spans="1:1" x14ac:dyDescent="0.3">
      <c r="A180" s="8" t="s">
        <v>717</v>
      </c>
    </row>
    <row r="181" spans="1:1" x14ac:dyDescent="0.3">
      <c r="A181" s="8" t="s">
        <v>718</v>
      </c>
    </row>
    <row r="182" spans="1:1" x14ac:dyDescent="0.3">
      <c r="A182" s="8" t="s">
        <v>720</v>
      </c>
    </row>
    <row r="183" spans="1:1" x14ac:dyDescent="0.3">
      <c r="A183" s="8" t="s">
        <v>722</v>
      </c>
    </row>
    <row r="184" spans="1:1" x14ac:dyDescent="0.3">
      <c r="A184" s="8" t="s">
        <v>724</v>
      </c>
    </row>
    <row r="185" spans="1:1" x14ac:dyDescent="0.3">
      <c r="A185" s="8" t="s">
        <v>725</v>
      </c>
    </row>
    <row r="186" spans="1:1" x14ac:dyDescent="0.3">
      <c r="A186" s="8" t="s">
        <v>729</v>
      </c>
    </row>
    <row r="187" spans="1:1" x14ac:dyDescent="0.3">
      <c r="A187" s="8" t="s">
        <v>733</v>
      </c>
    </row>
    <row r="188" spans="1:1" x14ac:dyDescent="0.3">
      <c r="A188" s="8" t="s">
        <v>734</v>
      </c>
    </row>
    <row r="189" spans="1:1" x14ac:dyDescent="0.3">
      <c r="A189" s="8" t="s">
        <v>735</v>
      </c>
    </row>
    <row r="190" spans="1:1" x14ac:dyDescent="0.3">
      <c r="A190" s="8" t="s">
        <v>736</v>
      </c>
    </row>
    <row r="191" spans="1:1" x14ac:dyDescent="0.3">
      <c r="A191" s="8" t="s">
        <v>737</v>
      </c>
    </row>
    <row r="192" spans="1:1" x14ac:dyDescent="0.3">
      <c r="A192" s="8" t="s">
        <v>738</v>
      </c>
    </row>
    <row r="193" spans="1:1" x14ac:dyDescent="0.3">
      <c r="A193" s="8" t="s">
        <v>742</v>
      </c>
    </row>
    <row r="194" spans="1:1" x14ac:dyDescent="0.3">
      <c r="A194" s="8" t="s">
        <v>743</v>
      </c>
    </row>
    <row r="195" spans="1:1" x14ac:dyDescent="0.3">
      <c r="A195" s="8" t="s">
        <v>746</v>
      </c>
    </row>
    <row r="196" spans="1:1" x14ac:dyDescent="0.3">
      <c r="A196" s="8" t="s">
        <v>747</v>
      </c>
    </row>
    <row r="197" spans="1:1" x14ac:dyDescent="0.3">
      <c r="A197" s="8" t="s">
        <v>748</v>
      </c>
    </row>
    <row r="198" spans="1:1" x14ac:dyDescent="0.3">
      <c r="A198" s="8" t="s">
        <v>751</v>
      </c>
    </row>
    <row r="199" spans="1:1" x14ac:dyDescent="0.3">
      <c r="A199" s="8" t="s">
        <v>752</v>
      </c>
    </row>
    <row r="200" spans="1:1" x14ac:dyDescent="0.3">
      <c r="A200" s="8" t="s">
        <v>753</v>
      </c>
    </row>
    <row r="201" spans="1:1" x14ac:dyDescent="0.3">
      <c r="A201" s="8" t="s">
        <v>755</v>
      </c>
    </row>
    <row r="202" spans="1:1" x14ac:dyDescent="0.3">
      <c r="A202" s="8" t="s">
        <v>756</v>
      </c>
    </row>
    <row r="203" spans="1:1" x14ac:dyDescent="0.3">
      <c r="A203" s="8" t="s">
        <v>759</v>
      </c>
    </row>
    <row r="204" spans="1:1" x14ac:dyDescent="0.3">
      <c r="A204" s="8" t="s">
        <v>761</v>
      </c>
    </row>
    <row r="205" spans="1:1" x14ac:dyDescent="0.3">
      <c r="A205" s="8" t="s">
        <v>762</v>
      </c>
    </row>
    <row r="206" spans="1:1" x14ac:dyDescent="0.3">
      <c r="A206" s="8" t="s">
        <v>763</v>
      </c>
    </row>
    <row r="207" spans="1:1" x14ac:dyDescent="0.3">
      <c r="A207" s="8" t="s">
        <v>765</v>
      </c>
    </row>
    <row r="208" spans="1:1" x14ac:dyDescent="0.3">
      <c r="A208" s="8" t="s">
        <v>766</v>
      </c>
    </row>
    <row r="209" spans="1:1" x14ac:dyDescent="0.3">
      <c r="A209" s="8" t="s">
        <v>768</v>
      </c>
    </row>
    <row r="210" spans="1:1" x14ac:dyDescent="0.3">
      <c r="A210" s="8" t="s">
        <v>770</v>
      </c>
    </row>
    <row r="211" spans="1:1" x14ac:dyDescent="0.3">
      <c r="A211" s="8" t="s">
        <v>772</v>
      </c>
    </row>
    <row r="212" spans="1:1" x14ac:dyDescent="0.3">
      <c r="A212" s="8" t="s">
        <v>775</v>
      </c>
    </row>
    <row r="213" spans="1:1" x14ac:dyDescent="0.3">
      <c r="A213" s="8" t="s">
        <v>776</v>
      </c>
    </row>
    <row r="214" spans="1:1" x14ac:dyDescent="0.3">
      <c r="A214" s="8" t="s">
        <v>777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8B60-C12F-4328-B4B5-EC45371494CF}">
  <sheetPr codeName="Feuil40"/>
  <dimension ref="A1:Y214"/>
  <sheetViews>
    <sheetView showGridLines="0" zoomScale="71" zoomScaleNormal="40" workbookViewId="0">
      <selection activeCell="F5" sqref="F5"/>
    </sheetView>
  </sheetViews>
  <sheetFormatPr baseColWidth="10" defaultColWidth="11.6640625" defaultRowHeight="12.6" x14ac:dyDescent="0.3"/>
  <cols>
    <col min="1" max="2" width="31.109375" style="8" customWidth="1"/>
    <col min="3" max="3" width="14.77734375" style="10" customWidth="1"/>
    <col min="4" max="5" width="11.6640625" style="10" customWidth="1"/>
    <col min="6" max="6" width="14.109375" style="11" bestFit="1" customWidth="1"/>
    <col min="7" max="9" width="11.6640625" style="10" customWidth="1"/>
    <col min="10" max="10" width="14.109375" style="10" bestFit="1" customWidth="1"/>
    <col min="11" max="11" width="15.109375" style="10" customWidth="1"/>
    <col min="12" max="12" width="20" style="10" customWidth="1"/>
    <col min="13" max="13" width="14.109375" style="8" bestFit="1" customWidth="1"/>
    <col min="14" max="15" width="12.6640625" style="12" bestFit="1" customWidth="1"/>
    <col min="16" max="17" width="14.109375" style="12" bestFit="1" customWidth="1"/>
    <col min="18" max="18" width="11.109375" style="13" customWidth="1"/>
    <col min="19" max="21" width="14.77734375" style="14" bestFit="1" customWidth="1"/>
    <col min="22" max="23" width="14.77734375" style="78" bestFit="1" customWidth="1"/>
    <col min="24" max="24" width="12.77734375" style="78" bestFit="1" customWidth="1"/>
    <col min="25" max="25" width="11.6640625" style="134"/>
    <col min="26" max="16384" width="11.6640625" style="8"/>
  </cols>
  <sheetData>
    <row r="1" spans="1:25" s="69" customFormat="1" ht="50.4" x14ac:dyDescent="0.3">
      <c r="A1" s="64" t="s">
        <v>778</v>
      </c>
      <c r="B1" s="64" t="s">
        <v>779</v>
      </c>
      <c r="C1" s="65" t="s">
        <v>780</v>
      </c>
      <c r="D1" s="65" t="s">
        <v>781</v>
      </c>
      <c r="E1" s="65" t="s">
        <v>782</v>
      </c>
      <c r="F1" s="66" t="s">
        <v>783</v>
      </c>
      <c r="G1" s="65" t="s">
        <v>784</v>
      </c>
      <c r="H1" s="65" t="s">
        <v>785</v>
      </c>
      <c r="I1" s="65" t="s">
        <v>782</v>
      </c>
      <c r="J1" s="65" t="s">
        <v>786</v>
      </c>
      <c r="K1" s="65" t="s">
        <v>787</v>
      </c>
      <c r="L1" s="65" t="s">
        <v>788</v>
      </c>
      <c r="M1" s="65" t="s">
        <v>789</v>
      </c>
      <c r="N1" s="66" t="s">
        <v>790</v>
      </c>
      <c r="O1" s="66" t="s">
        <v>791</v>
      </c>
      <c r="P1" s="66" t="s">
        <v>792</v>
      </c>
      <c r="Q1" s="66" t="s">
        <v>793</v>
      </c>
      <c r="R1" s="67" t="s">
        <v>794</v>
      </c>
      <c r="S1" s="68" t="s">
        <v>795</v>
      </c>
      <c r="T1" s="68" t="s">
        <v>796</v>
      </c>
      <c r="U1" s="68" t="s">
        <v>797</v>
      </c>
      <c r="V1" s="68" t="s">
        <v>798</v>
      </c>
      <c r="W1" s="68" t="s">
        <v>799</v>
      </c>
      <c r="X1" s="68" t="s">
        <v>800</v>
      </c>
      <c r="Y1" s="135"/>
    </row>
    <row r="2" spans="1:25" s="69" customFormat="1" x14ac:dyDescent="0.3">
      <c r="A2" s="4"/>
      <c r="B2" s="4" t="s">
        <v>646</v>
      </c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6"/>
      <c r="O2" s="6"/>
      <c r="P2" s="6"/>
      <c r="Q2" s="6"/>
      <c r="R2" s="70">
        <v>1</v>
      </c>
      <c r="S2" s="7">
        <f ca="1">IF(SUMIF($A:$A,$A3,O:O)&gt;0,R2/SUM($R:$R),O3)</f>
        <v>0</v>
      </c>
      <c r="T2" s="7">
        <f ca="1">IFERROR(S2/SUM(S:S),S2)</f>
        <v>0</v>
      </c>
      <c r="U2" s="7">
        <f ca="1">IFERROR(O3*T2,O3)</f>
        <v>0</v>
      </c>
      <c r="V2" s="7">
        <f ca="1">IF(SUMIF($A:$A,$A3,Q:Q)&gt;0,R2/SUM(R:R),Q3)</f>
        <v>0</v>
      </c>
      <c r="W2" s="7">
        <f ca="1">IFERROR(V2/SUM(V:V),V2)</f>
        <v>0</v>
      </c>
      <c r="X2" s="7">
        <f ca="1">IFERROR(W2*Q3,W2)</f>
        <v>0</v>
      </c>
      <c r="Y2" s="135"/>
    </row>
    <row r="3" spans="1:25" x14ac:dyDescent="0.3">
      <c r="A3" s="64" t="s">
        <v>646</v>
      </c>
      <c r="B3" s="64" t="s">
        <v>648</v>
      </c>
      <c r="C3" s="71">
        <f>SUMIFS(Grille!R:R,Grille!A:A,Grille_HT3!A3,Grille!C:C,Grille_HT3!B3,Grille!I:I,"Majeur")</f>
        <v>3</v>
      </c>
      <c r="D3" s="71">
        <f ca="1">SUMIFS(Grille!Q:Q,Grille!A:A,Grille_HT3!A3,Grille!C:C,Grille_HT3!B3,Grille!I:I,"Majeur")</f>
        <v>3</v>
      </c>
      <c r="E3" s="71">
        <f ca="1">SUMIFS(Grille!N:N,Grille!A:A,Grille_HT3!A3,Grille!C:C,Grille_HT3!B3,Grille!I:I,"Majeur")</f>
        <v>0</v>
      </c>
      <c r="F3" s="72">
        <f ca="1">IF(C3=0,"Non appliqué",IF(D3=0,"Non concerné",E3/D3))</f>
        <v>0</v>
      </c>
      <c r="G3" s="71">
        <f>SUMIFS(Grille!R:R,Grille!A:A,Grille_HT3!A3,Grille!C:C,Grille_HT3!B3,Grille!I:I,"Mineur")</f>
        <v>6</v>
      </c>
      <c r="H3" s="71">
        <f ca="1">SUMIFS(Grille!Q:Q,Grille!A:A,Grille_HT3!A3,Grille!C:C,Grille_HT3!B3,Grille!I:I,"Mineur")</f>
        <v>6</v>
      </c>
      <c r="I3" s="71">
        <f ca="1">SUMIFS(Grille!N:N,Grille!A:A,Grille_HT3!A3,Grille!C:C,Grille_HT3!B3,Grille!I:I,"Mineur")</f>
        <v>0</v>
      </c>
      <c r="J3" s="72">
        <f ca="1">IF(G3=0,"Non appliqué",IF(H3=0,"Non concerné",I3/H3))</f>
        <v>0</v>
      </c>
      <c r="K3" s="71">
        <v>40</v>
      </c>
      <c r="L3" s="73">
        <f ca="1">IF(D3&gt;0,K3/SUMIFS(K:K,A:A,A3,D:D,"&gt;0"),F3)</f>
        <v>0.4</v>
      </c>
      <c r="M3" s="73">
        <f ca="1">IF(H3&gt;0,K3/SUMIFS(K:K,A:A,A3,H:H,"&gt;0"),J3)</f>
        <v>0.4</v>
      </c>
      <c r="N3" s="73">
        <f ca="1">IF(ISNUMBER(F3),F3*L3,F3)</f>
        <v>0</v>
      </c>
      <c r="O3" s="73">
        <f ca="1">IF(SUMIFS(C:C,A:A,A3)=0,"Non appliqué",IF(SUMIFS(D:D,A:A,A3)&gt;=0,SUMIFS(N:N,A:A,A3),"Non concerné"))</f>
        <v>0</v>
      </c>
      <c r="P3" s="73">
        <f ca="1">IF(ISNUMBER(J3),J3*M3,J3)</f>
        <v>0</v>
      </c>
      <c r="Q3" s="73">
        <f ca="1">IF(SUMIFS(G:G,A:A,A3)=0,"Non appliqué",IF(SUMIFS(H:H,A:A,A3)&gt;=0,SUMIFS(P:P,A:A,A3),"Non concerné"))</f>
        <v>0</v>
      </c>
      <c r="R3" s="74"/>
      <c r="S3" s="75"/>
      <c r="T3" s="75"/>
      <c r="U3" s="75"/>
      <c r="V3" s="76"/>
      <c r="W3" s="76"/>
      <c r="X3" s="76"/>
      <c r="Y3" s="134">
        <v>1</v>
      </c>
    </row>
    <row r="4" spans="1:25" x14ac:dyDescent="0.3">
      <c r="A4" s="64" t="s">
        <v>646</v>
      </c>
      <c r="B4" s="64" t="s">
        <v>652</v>
      </c>
      <c r="C4" s="71">
        <f>SUMIFS(Grille!R:R,Grille!A:A,Grille_HT3!A4,Grille!C:C,Grille_HT3!B4,Grille!I:I,"Majeur")</f>
        <v>2</v>
      </c>
      <c r="D4" s="71">
        <f ca="1">SUMIFS(Grille!Q:Q,Grille!A:A,Grille_HT3!A4,Grille!C:C,Grille_HT3!B4,Grille!I:I,"Majeur")</f>
        <v>2</v>
      </c>
      <c r="E4" s="71">
        <f ca="1">SUMIFS(Grille!N:N,Grille!A:A,Grille_HT3!A4,Grille!C:C,Grille_HT3!B4,Grille!I:I,"Majeur")</f>
        <v>0</v>
      </c>
      <c r="F4" s="72">
        <f t="shared" ref="F4:F67" ca="1" si="0">IF(C4=0,"Non appliqué",IF(D4=0,"Non concerné",E4/D4))</f>
        <v>0</v>
      </c>
      <c r="G4" s="71">
        <f>SUMIFS(Grille!R:R,Grille!A:A,Grille_HT3!A4,Grille!C:C,Grille_HT3!B4,Grille!I:I,"Mineur")</f>
        <v>3</v>
      </c>
      <c r="H4" s="71">
        <f ca="1">SUMIFS(Grille!Q:Q,Grille!A:A,Grille_HT3!A4,Grille!C:C,Grille_HT3!B4,Grille!I:I,"Mineur")</f>
        <v>3</v>
      </c>
      <c r="I4" s="71">
        <f ca="1">SUMIFS(Grille!N:N,Grille!A:A,Grille_HT3!A4,Grille!C:C,Grille_HT3!B4,Grille!I:I,"Mineur")</f>
        <v>0</v>
      </c>
      <c r="J4" s="72">
        <f t="shared" ref="J4:J67" ca="1" si="1">IF(G4=0,"Non appliqué",IF(H4=0,"Non concerné",I4/H4))</f>
        <v>0</v>
      </c>
      <c r="K4" s="71">
        <v>60</v>
      </c>
      <c r="L4" s="73">
        <f t="shared" ref="L4:L67" ca="1" si="2">IF(D4&gt;0,K4/SUMIFS(K:K,A:A,A4,D:D,"&gt;0"),F4)</f>
        <v>0.6</v>
      </c>
      <c r="M4" s="73">
        <f t="shared" ref="M4:M67" ca="1" si="3">IF(H4&gt;0,K4/SUMIFS(K:K,A:A,A4,H:H,"&gt;0"),J4)</f>
        <v>0.6</v>
      </c>
      <c r="N4" s="73">
        <f ca="1">IF(ISNUMBER(F4),F4*L4,F4)</f>
        <v>0</v>
      </c>
      <c r="O4" s="73">
        <f t="shared" ref="O4:O67" ca="1" si="4">IF(SUMIFS(C:C,A:A,A4)=0,"Non appliqué",IF(SUMIFS(D:D,A:A,A4)&gt;=0,SUMIFS(N:N,A:A,A4),"Non concerné"))</f>
        <v>0</v>
      </c>
      <c r="P4" s="73">
        <f ca="1">IF(ISNUMBER(J4),J4*M4,J4)</f>
        <v>0</v>
      </c>
      <c r="Q4" s="73">
        <f t="shared" ref="Q4:Q67" ca="1" si="5">IF(SUMIFS(G:G,A:A,A4)=0,"Non appliqué",IF(SUMIFS(H:H,A:A,A4)&gt;=0,SUMIFS(P:P,A:A,A4),"Non concerné"))</f>
        <v>0</v>
      </c>
      <c r="R4" s="77"/>
      <c r="S4" s="75"/>
      <c r="T4" s="75"/>
      <c r="U4" s="75" t="str">
        <f>IF(O5&gt;0,T4*O5,"")</f>
        <v/>
      </c>
      <c r="V4" s="76"/>
      <c r="W4" s="76"/>
      <c r="X4" s="76"/>
      <c r="Y4" s="134">
        <f>Y3+1</f>
        <v>2</v>
      </c>
    </row>
    <row r="5" spans="1:25" s="69" customFormat="1" x14ac:dyDescent="0.3">
      <c r="A5" s="4"/>
      <c r="B5" s="4" t="s">
        <v>653</v>
      </c>
      <c r="C5" s="5"/>
      <c r="D5" s="5"/>
      <c r="E5" s="5"/>
      <c r="F5" s="5"/>
      <c r="G5" s="9"/>
      <c r="H5" s="9"/>
      <c r="I5" s="9"/>
      <c r="J5" s="6"/>
      <c r="K5" s="5"/>
      <c r="L5" s="5"/>
      <c r="M5" s="5"/>
      <c r="N5" s="6"/>
      <c r="O5" s="6"/>
      <c r="P5" s="6"/>
      <c r="Q5" s="6"/>
      <c r="R5" s="70">
        <v>4</v>
      </c>
      <c r="S5" s="7">
        <f t="shared" ref="S5:S63" ca="1" si="6">IF(SUMIF($A:$A,$A6,D:D)&gt;0,R5/SUM($R:$R),O6)</f>
        <v>0.04</v>
      </c>
      <c r="T5" s="7">
        <f ca="1">IFERROR(S5/SUM(S:S),S5)</f>
        <v>5.1948051948051945E-2</v>
      </c>
      <c r="U5" s="7">
        <f ca="1">IFERROR(T5*O6,T5)</f>
        <v>0</v>
      </c>
      <c r="V5" s="7">
        <f t="shared" ref="V5:V63" ca="1" si="7">IF(SUMIF($A:$A,$A6,H:H)&gt;0,R5/SUM(R:R),Q6)</f>
        <v>0.04</v>
      </c>
      <c r="W5" s="7">
        <f ca="1">IFERROR(V5/SUM(V:V),V5)</f>
        <v>4.3478260869565216E-2</v>
      </c>
      <c r="X5" s="7">
        <f ca="1">IFERROR(W5*Q6,W5)</f>
        <v>0</v>
      </c>
      <c r="Y5" s="134"/>
    </row>
    <row r="6" spans="1:25" x14ac:dyDescent="0.3">
      <c r="A6" s="64" t="s">
        <v>653</v>
      </c>
      <c r="B6" s="64" t="s">
        <v>654</v>
      </c>
      <c r="C6" s="71">
        <f>SUMIFS(Grille!R:R,Grille!A:A,Grille_HT3!A6,Grille!C:C,Grille_HT3!B6,Grille!I:I,"Majeur")</f>
        <v>0</v>
      </c>
      <c r="D6" s="71">
        <f>SUMIFS(Grille!Q:Q,Grille!A:A,Grille_HT3!A6,Grille!C:C,Grille_HT3!B6,Grille!I:I,"Majeur")</f>
        <v>0</v>
      </c>
      <c r="E6" s="71">
        <f>SUMIFS(Grille!N:N,Grille!A:A,Grille_HT3!A6,Grille!C:C,Grille_HT3!B6,Grille!I:I,"Majeur")</f>
        <v>0</v>
      </c>
      <c r="F6" s="72" t="str">
        <f t="shared" si="0"/>
        <v>Non appliqué</v>
      </c>
      <c r="G6" s="71">
        <f>SUMIFS(Grille!R:R,Grille!A:A,Grille_HT3!A6,Grille!C:C,Grille_HT3!B6,Grille!I:I,"Mineur")</f>
        <v>21</v>
      </c>
      <c r="H6" s="71">
        <f ca="1">SUMIFS(Grille!Q:Q,Grille!A:A,Grille_HT3!A6,Grille!C:C,Grille_HT3!B6,Grille!I:I,"Mineur")</f>
        <v>21</v>
      </c>
      <c r="I6" s="71">
        <f ca="1">SUMIFS(Grille!N:N,Grille!A:A,Grille_HT3!A6,Grille!C:C,Grille_HT3!B6,Grille!I:I,"Mineur")</f>
        <v>0</v>
      </c>
      <c r="J6" s="72">
        <f t="shared" ca="1" si="1"/>
        <v>0</v>
      </c>
      <c r="K6" s="71">
        <v>40</v>
      </c>
      <c r="L6" s="73" t="str">
        <f t="shared" si="2"/>
        <v>Non appliqué</v>
      </c>
      <c r="M6" s="73">
        <f t="shared" ca="1" si="3"/>
        <v>1</v>
      </c>
      <c r="N6" s="73" t="str">
        <f>IF(ISNUMBER(F6),F6*L6,F6)</f>
        <v>Non appliqué</v>
      </c>
      <c r="O6" s="73">
        <f t="shared" ca="1" si="4"/>
        <v>0</v>
      </c>
      <c r="P6" s="73">
        <f ca="1">IF(ISNUMBER(J6),J6*M6,J6)</f>
        <v>0</v>
      </c>
      <c r="Q6" s="73">
        <f t="shared" ca="1" si="5"/>
        <v>0</v>
      </c>
      <c r="R6" s="77"/>
      <c r="S6" s="75"/>
      <c r="T6" s="75"/>
      <c r="U6" s="75"/>
      <c r="V6" s="76"/>
      <c r="W6" s="76"/>
      <c r="X6" s="76"/>
      <c r="Y6" s="134">
        <v>3</v>
      </c>
    </row>
    <row r="7" spans="1:25" x14ac:dyDescent="0.3">
      <c r="A7" s="64" t="s">
        <v>653</v>
      </c>
      <c r="B7" s="64" t="s">
        <v>657</v>
      </c>
      <c r="C7" s="71">
        <f>SUMIFS(Grille!R:R,Grille!A:A,Grille_HT3!A7,Grille!C:C,Grille_HT3!B7,Grille!I:I,"Majeur")</f>
        <v>0</v>
      </c>
      <c r="D7" s="71">
        <f>SUMIFS(Grille!Q:Q,Grille!A:A,Grille_HT3!A7,Grille!C:C,Grille_HT3!B7,Grille!I:I,"Majeur")</f>
        <v>0</v>
      </c>
      <c r="E7" s="71">
        <f>SUMIFS(Grille!N:N,Grille!A:A,Grille_HT3!A7,Grille!C:C,Grille_HT3!B7,Grille!I:I,"Majeur")</f>
        <v>0</v>
      </c>
      <c r="F7" s="72" t="str">
        <f t="shared" si="0"/>
        <v>Non appliqué</v>
      </c>
      <c r="G7" s="71">
        <f>SUMIFS(Grille!R:R,Grille!A:A,Grille_HT3!A7,Grille!C:C,Grille_HT3!B7,Grille!I:I,"Mineur")</f>
        <v>0</v>
      </c>
      <c r="H7" s="71">
        <f>SUMIFS(Grille!Q:Q,Grille!A:A,Grille_HT3!A7,Grille!C:C,Grille_HT3!B7,Grille!I:I,"Mineur")</f>
        <v>0</v>
      </c>
      <c r="I7" s="71">
        <f>SUMIFS(Grille!N:N,Grille!A:A,Grille_HT3!A7,Grille!C:C,Grille_HT3!B7,Grille!I:I,"Mineur")</f>
        <v>0</v>
      </c>
      <c r="J7" s="72" t="str">
        <f t="shared" si="1"/>
        <v>Non appliqué</v>
      </c>
      <c r="K7" s="71">
        <v>20</v>
      </c>
      <c r="L7" s="73" t="str">
        <f t="shared" si="2"/>
        <v>Non appliqué</v>
      </c>
      <c r="M7" s="73" t="str">
        <f t="shared" si="3"/>
        <v>Non appliqué</v>
      </c>
      <c r="N7" s="73" t="str">
        <f>IF(ISNUMBER(F7),F7*L7,F7)</f>
        <v>Non appliqué</v>
      </c>
      <c r="O7" s="73">
        <f t="shared" ca="1" si="4"/>
        <v>0</v>
      </c>
      <c r="P7" s="73" t="str">
        <f>IF(ISNUMBER(J7),J7*M7,J7)</f>
        <v>Non appliqué</v>
      </c>
      <c r="Q7" s="73">
        <f t="shared" ca="1" si="5"/>
        <v>0</v>
      </c>
      <c r="R7" s="77"/>
      <c r="S7" s="75"/>
      <c r="T7" s="75"/>
      <c r="U7" s="75"/>
      <c r="V7" s="76"/>
      <c r="W7" s="76"/>
      <c r="X7" s="76"/>
      <c r="Y7" s="134">
        <f t="shared" ref="Y7:Y70" si="8">Y6+1</f>
        <v>4</v>
      </c>
    </row>
    <row r="8" spans="1:25" x14ac:dyDescent="0.3">
      <c r="A8" s="64" t="s">
        <v>653</v>
      </c>
      <c r="B8" s="64" t="s">
        <v>658</v>
      </c>
      <c r="C8" s="71">
        <f>SUMIFS(Grille!R:R,Grille!A:A,Grille_HT3!A8,Grille!C:C,Grille_HT3!B8,Grille!I:I,"Majeur")</f>
        <v>15</v>
      </c>
      <c r="D8" s="71">
        <f ca="1">SUMIFS(Grille!Q:Q,Grille!A:A,Grille_HT3!A8,Grille!C:C,Grille_HT3!B8,Grille!I:I,"Majeur")</f>
        <v>15</v>
      </c>
      <c r="E8" s="71">
        <f ca="1">SUMIFS(Grille!N:N,Grille!A:A,Grille_HT3!A8,Grille!C:C,Grille_HT3!B8,Grille!I:I,"Majeur")</f>
        <v>0</v>
      </c>
      <c r="F8" s="72">
        <f t="shared" ca="1" si="0"/>
        <v>0</v>
      </c>
      <c r="G8" s="71">
        <f>SUMIFS(Grille!R:R,Grille!A:A,Grille_HT3!A8,Grille!C:C,Grille_HT3!B8,Grille!I:I,"Mineur")</f>
        <v>0</v>
      </c>
      <c r="H8" s="71">
        <f>SUMIFS(Grille!Q:Q,Grille!A:A,Grille_HT3!A8,Grille!C:C,Grille_HT3!B8,Grille!I:I,"Mineur")</f>
        <v>0</v>
      </c>
      <c r="I8" s="71">
        <f>SUMIFS(Grille!N:N,Grille!A:A,Grille_HT3!A8,Grille!C:C,Grille_HT3!B8,Grille!I:I,"Mineur")</f>
        <v>0</v>
      </c>
      <c r="J8" s="72" t="str">
        <f t="shared" si="1"/>
        <v>Non appliqué</v>
      </c>
      <c r="K8" s="71">
        <v>40</v>
      </c>
      <c r="L8" s="73">
        <f t="shared" ca="1" si="2"/>
        <v>1</v>
      </c>
      <c r="M8" s="73" t="str">
        <f t="shared" si="3"/>
        <v>Non appliqué</v>
      </c>
      <c r="N8" s="73">
        <f ca="1">IF(ISNUMBER(F8),F8*L8,F8)</f>
        <v>0</v>
      </c>
      <c r="O8" s="73">
        <f t="shared" ca="1" si="4"/>
        <v>0</v>
      </c>
      <c r="P8" s="73" t="str">
        <f>IF(ISNUMBER(J8),J8*M8,J8)</f>
        <v>Non appliqué</v>
      </c>
      <c r="Q8" s="73">
        <f t="shared" ca="1" si="5"/>
        <v>0</v>
      </c>
      <c r="R8" s="77"/>
      <c r="S8" s="75"/>
      <c r="T8" s="75"/>
      <c r="U8" s="75"/>
      <c r="V8" s="76"/>
      <c r="W8" s="76"/>
      <c r="X8" s="76"/>
      <c r="Y8" s="134">
        <f t="shared" si="8"/>
        <v>5</v>
      </c>
    </row>
    <row r="9" spans="1:25" x14ac:dyDescent="0.3">
      <c r="A9" s="4"/>
      <c r="B9" s="4" t="str">
        <f>A10</f>
        <v>Accueil et réception</v>
      </c>
      <c r="C9" s="5"/>
      <c r="D9" s="5"/>
      <c r="E9" s="5"/>
      <c r="F9" s="5"/>
      <c r="G9" s="9"/>
      <c r="H9" s="9"/>
      <c r="I9" s="9"/>
      <c r="J9" s="6"/>
      <c r="K9" s="5"/>
      <c r="L9" s="5"/>
      <c r="M9" s="5"/>
      <c r="N9" s="6"/>
      <c r="O9" s="6"/>
      <c r="P9" s="6"/>
      <c r="Q9" s="6"/>
      <c r="R9" s="70">
        <v>8</v>
      </c>
      <c r="S9" s="7">
        <f t="shared" ca="1" si="6"/>
        <v>0.08</v>
      </c>
      <c r="T9" s="7">
        <f ca="1">IFERROR(S9/SUM(S:S),S9)</f>
        <v>0.10389610389610389</v>
      </c>
      <c r="U9" s="7">
        <f ca="1">IFERROR(T9*O10,T9)</f>
        <v>0</v>
      </c>
      <c r="V9" s="7">
        <f t="shared" ca="1" si="7"/>
        <v>0.08</v>
      </c>
      <c r="W9" s="7">
        <f ca="1">IFERROR(V9/SUM(V:V),V9)</f>
        <v>8.6956521739130432E-2</v>
      </c>
      <c r="X9" s="7">
        <f ca="1">IFERROR(W9*Q10,W9)</f>
        <v>0</v>
      </c>
    </row>
    <row r="10" spans="1:25" x14ac:dyDescent="0.3">
      <c r="A10" s="65" t="s">
        <v>659</v>
      </c>
      <c r="B10" s="65" t="s">
        <v>661</v>
      </c>
      <c r="C10" s="71">
        <f>SUMIFS(Grille!R:R,Grille!A:A,Grille_HT3!A10,Grille!C:C,Grille_HT3!B10,Grille!I:I,"Majeur")</f>
        <v>6</v>
      </c>
      <c r="D10" s="71">
        <f ca="1">SUMIFS(Grille!Q:Q,Grille!A:A,Grille_HT3!A10,Grille!C:C,Grille_HT3!B10,Grille!I:I,"Majeur")</f>
        <v>6</v>
      </c>
      <c r="E10" s="71">
        <f ca="1">SUMIFS(Grille!N:N,Grille!A:A,Grille_HT3!A10,Grille!C:C,Grille_HT3!B10,Grille!I:I,"Majeur")</f>
        <v>0</v>
      </c>
      <c r="F10" s="72">
        <f t="shared" ca="1" si="0"/>
        <v>0</v>
      </c>
      <c r="G10" s="71">
        <f>SUMIFS(Grille!R:R,Grille!A:A,Grille_HT3!A10,Grille!C:C,Grille_HT3!B10,Grille!I:I,"Mineur")</f>
        <v>18</v>
      </c>
      <c r="H10" s="71">
        <f ca="1">SUMIFS(Grille!Q:Q,Grille!A:A,Grille_HT3!A10,Grille!C:C,Grille_HT3!B10,Grille!I:I,"Mineur")</f>
        <v>18</v>
      </c>
      <c r="I10" s="71">
        <f ca="1">SUMIFS(Grille!N:N,Grille!A:A,Grille_HT3!A10,Grille!C:C,Grille_HT3!B10,Grille!I:I,"Mineur")</f>
        <v>0</v>
      </c>
      <c r="J10" s="72">
        <f t="shared" ca="1" si="1"/>
        <v>0</v>
      </c>
      <c r="K10" s="71">
        <v>10</v>
      </c>
      <c r="L10" s="73">
        <f t="shared" ca="1" si="2"/>
        <v>0.11764705882352941</v>
      </c>
      <c r="M10" s="73">
        <f t="shared" ca="1" si="3"/>
        <v>0.125</v>
      </c>
      <c r="N10" s="73">
        <f ca="1">IF(ISNUMBER(F10),F10*L10,F10)</f>
        <v>0</v>
      </c>
      <c r="O10" s="73">
        <f t="shared" ca="1" si="4"/>
        <v>0</v>
      </c>
      <c r="P10" s="73">
        <f ca="1">IF(ISNUMBER(J10),J10*M10,J10)</f>
        <v>0</v>
      </c>
      <c r="Q10" s="73">
        <f t="shared" ca="1" si="5"/>
        <v>0</v>
      </c>
      <c r="R10" s="77"/>
      <c r="S10" s="75"/>
      <c r="T10" s="75"/>
      <c r="U10" s="75"/>
      <c r="V10" s="76"/>
      <c r="W10" s="76"/>
      <c r="X10" s="76"/>
      <c r="Y10" s="134">
        <v>6</v>
      </c>
    </row>
    <row r="11" spans="1:25" x14ac:dyDescent="0.3">
      <c r="A11" s="64" t="s">
        <v>659</v>
      </c>
      <c r="B11" s="65" t="s">
        <v>662</v>
      </c>
      <c r="C11" s="71">
        <f>SUMIFS(Grille!R:R,Grille!A:A,Grille_HT3!A11,Grille!C:C,Grille_HT3!B11,Grille!I:I,"Majeur")</f>
        <v>26</v>
      </c>
      <c r="D11" s="71">
        <f ca="1">SUMIFS(Grille!Q:Q,Grille!A:A,Grille_HT3!A11,Grille!C:C,Grille_HT3!B11,Grille!I:I,"Majeur")</f>
        <v>26</v>
      </c>
      <c r="E11" s="71">
        <f ca="1">SUMIFS(Grille!N:N,Grille!A:A,Grille_HT3!A11,Grille!C:C,Grille_HT3!B11,Grille!I:I,"Majeur")</f>
        <v>0</v>
      </c>
      <c r="F11" s="72">
        <f t="shared" ca="1" si="0"/>
        <v>0</v>
      </c>
      <c r="G11" s="71">
        <f>SUMIFS(Grille!R:R,Grille!A:A,Grille_HT3!A11,Grille!C:C,Grille_HT3!B11,Grille!I:I,"Mineur")</f>
        <v>13</v>
      </c>
      <c r="H11" s="71">
        <f ca="1">SUMIFS(Grille!Q:Q,Grille!A:A,Grille_HT3!A11,Grille!C:C,Grille_HT3!B11,Grille!I:I,"Mineur")</f>
        <v>13</v>
      </c>
      <c r="I11" s="71">
        <f ca="1">SUMIFS(Grille!N:N,Grille!A:A,Grille_HT3!A11,Grille!C:C,Grille_HT3!B11,Grille!I:I,"Mineur")</f>
        <v>0</v>
      </c>
      <c r="J11" s="72">
        <f t="shared" ca="1" si="1"/>
        <v>0</v>
      </c>
      <c r="K11" s="71">
        <v>40</v>
      </c>
      <c r="L11" s="73">
        <f t="shared" ca="1" si="2"/>
        <v>0.47058823529411764</v>
      </c>
      <c r="M11" s="73">
        <f t="shared" ca="1" si="3"/>
        <v>0.5</v>
      </c>
      <c r="N11" s="73">
        <f ca="1">IF(ISNUMBER(F11),F11*L11,F11)</f>
        <v>0</v>
      </c>
      <c r="O11" s="73">
        <f t="shared" ca="1" si="4"/>
        <v>0</v>
      </c>
      <c r="P11" s="73">
        <f ca="1">IF(ISNUMBER(J11),J11*M11,J11)</f>
        <v>0</v>
      </c>
      <c r="Q11" s="73">
        <f t="shared" ca="1" si="5"/>
        <v>0</v>
      </c>
      <c r="R11" s="77"/>
      <c r="S11" s="75"/>
      <c r="T11" s="75"/>
      <c r="U11" s="75"/>
      <c r="V11" s="76"/>
      <c r="W11" s="76"/>
      <c r="X11" s="76"/>
      <c r="Y11" s="134">
        <f t="shared" si="8"/>
        <v>7</v>
      </c>
    </row>
    <row r="12" spans="1:25" x14ac:dyDescent="0.3">
      <c r="A12" s="64" t="s">
        <v>659</v>
      </c>
      <c r="B12" s="65" t="s">
        <v>664</v>
      </c>
      <c r="C12" s="71">
        <f>SUMIFS(Grille!R:R,Grille!A:A,Grille_HT3!A12,Grille!C:C,Grille_HT3!B12,Grille!I:I,"Majeur")</f>
        <v>18</v>
      </c>
      <c r="D12" s="71">
        <f ca="1">SUMIFS(Grille!Q:Q,Grille!A:A,Grille_HT3!A12,Grille!C:C,Grille_HT3!B12,Grille!I:I,"Majeur")</f>
        <v>18</v>
      </c>
      <c r="E12" s="71">
        <f ca="1">SUMIFS(Grille!N:N,Grille!A:A,Grille_HT3!A12,Grille!C:C,Grille_HT3!B12,Grille!I:I,"Majeur")</f>
        <v>0</v>
      </c>
      <c r="F12" s="72">
        <f t="shared" ca="1" si="0"/>
        <v>0</v>
      </c>
      <c r="G12" s="71">
        <f>SUMIFS(Grille!R:R,Grille!A:A,Grille_HT3!A12,Grille!C:C,Grille_HT3!B12,Grille!I:I,"Mineur")</f>
        <v>17</v>
      </c>
      <c r="H12" s="71">
        <f ca="1">SUMIFS(Grille!Q:Q,Grille!A:A,Grille_HT3!A12,Grille!C:C,Grille_HT3!B12,Grille!I:I,"Mineur")</f>
        <v>17</v>
      </c>
      <c r="I12" s="71">
        <f ca="1">SUMIFS(Grille!N:N,Grille!A:A,Grille_HT3!A12,Grille!C:C,Grille_HT3!B12,Grille!I:I,"Mineur")</f>
        <v>0</v>
      </c>
      <c r="J12" s="72">
        <f t="shared" ca="1" si="1"/>
        <v>0</v>
      </c>
      <c r="K12" s="71">
        <v>30</v>
      </c>
      <c r="L12" s="73">
        <f t="shared" ca="1" si="2"/>
        <v>0.35294117647058826</v>
      </c>
      <c r="M12" s="73">
        <f t="shared" ca="1" si="3"/>
        <v>0.375</v>
      </c>
      <c r="N12" s="73">
        <f ca="1">IF(ISNUMBER(F12),F12*L12,F12)</f>
        <v>0</v>
      </c>
      <c r="O12" s="73">
        <f t="shared" ca="1" si="4"/>
        <v>0</v>
      </c>
      <c r="P12" s="73">
        <f ca="1">IF(ISNUMBER(J12),J12*M12,J12)</f>
        <v>0</v>
      </c>
      <c r="Q12" s="73">
        <f t="shared" ca="1" si="5"/>
        <v>0</v>
      </c>
      <c r="R12" s="77"/>
      <c r="S12" s="75"/>
      <c r="T12" s="75"/>
      <c r="U12" s="75"/>
      <c r="V12" s="76"/>
      <c r="W12" s="76"/>
      <c r="X12" s="76"/>
      <c r="Y12" s="134">
        <f t="shared" si="8"/>
        <v>8</v>
      </c>
    </row>
    <row r="13" spans="1:25" x14ac:dyDescent="0.3">
      <c r="A13" s="64" t="s">
        <v>659</v>
      </c>
      <c r="B13" s="65" t="s">
        <v>667</v>
      </c>
      <c r="C13" s="71">
        <f>SUMIFS(Grille!R:R,Grille!A:A,Grille_HT3!A13,Grille!C:C,Grille_HT3!B13,Grille!I:I,"Majeur")</f>
        <v>0</v>
      </c>
      <c r="D13" s="71">
        <f>SUMIFS(Grille!Q:Q,Grille!A:A,Grille_HT3!A13,Grille!C:C,Grille_HT3!B13,Grille!I:I,"Majeur")</f>
        <v>0</v>
      </c>
      <c r="E13" s="71">
        <f>SUMIFS(Grille!N:N,Grille!A:A,Grille_HT3!A13,Grille!C:C,Grille_HT3!B13,Grille!I:I,"Majeur")</f>
        <v>0</v>
      </c>
      <c r="F13" s="72" t="str">
        <f t="shared" si="0"/>
        <v>Non appliqué</v>
      </c>
      <c r="G13" s="71">
        <f>SUMIFS(Grille!R:R,Grille!A:A,Grille_HT3!A13,Grille!C:C,Grille_HT3!B13,Grille!I:I,"Mineur")</f>
        <v>0</v>
      </c>
      <c r="H13" s="71">
        <f>SUMIFS(Grille!Q:Q,Grille!A:A,Grille_HT3!A13,Grille!C:C,Grille_HT3!B13,Grille!I:I,"Mineur")</f>
        <v>0</v>
      </c>
      <c r="I13" s="71">
        <f>SUMIFS(Grille!N:N,Grille!A:A,Grille_HT3!A13,Grille!C:C,Grille_HT3!B13,Grille!I:I,"Mineur")</f>
        <v>0</v>
      </c>
      <c r="J13" s="72" t="str">
        <f t="shared" si="1"/>
        <v>Non appliqué</v>
      </c>
      <c r="K13" s="71">
        <v>15</v>
      </c>
      <c r="L13" s="73" t="str">
        <f t="shared" si="2"/>
        <v>Non appliqué</v>
      </c>
      <c r="M13" s="73" t="str">
        <f t="shared" si="3"/>
        <v>Non appliqué</v>
      </c>
      <c r="N13" s="73" t="str">
        <f>IF(ISNUMBER(F13),F13*L13,F13)</f>
        <v>Non appliqué</v>
      </c>
      <c r="O13" s="73">
        <f t="shared" ca="1" si="4"/>
        <v>0</v>
      </c>
      <c r="P13" s="73" t="str">
        <f>IF(ISNUMBER(J13),J13*M13,J13)</f>
        <v>Non appliqué</v>
      </c>
      <c r="Q13" s="73">
        <f t="shared" ca="1" si="5"/>
        <v>0</v>
      </c>
      <c r="R13" s="77"/>
      <c r="S13" s="75"/>
      <c r="T13" s="75"/>
      <c r="U13" s="75"/>
      <c r="V13" s="76"/>
      <c r="W13" s="76"/>
      <c r="X13" s="76"/>
      <c r="Y13" s="134">
        <f t="shared" si="8"/>
        <v>9</v>
      </c>
    </row>
    <row r="14" spans="1:25" x14ac:dyDescent="0.3">
      <c r="A14" s="64" t="s">
        <v>659</v>
      </c>
      <c r="B14" s="65" t="s">
        <v>668</v>
      </c>
      <c r="C14" s="71">
        <f>SUMIFS(Grille!R:R,Grille!A:A,Grille_HT3!A14,Grille!C:C,Grille_HT3!B14,Grille!I:I,"Majeur")</f>
        <v>2</v>
      </c>
      <c r="D14" s="71">
        <f ca="1">SUMIFS(Grille!Q:Q,Grille!A:A,Grille_HT3!A14,Grille!C:C,Grille_HT3!B14,Grille!I:I,"Majeur")</f>
        <v>2</v>
      </c>
      <c r="E14" s="71">
        <f ca="1">SUMIFS(Grille!N:N,Grille!A:A,Grille_HT3!A14,Grille!C:C,Grille_HT3!B14,Grille!I:I,"Majeur")</f>
        <v>0</v>
      </c>
      <c r="F14" s="72">
        <f t="shared" ca="1" si="0"/>
        <v>0</v>
      </c>
      <c r="G14" s="71">
        <f>SUMIFS(Grille!R:R,Grille!A:A,Grille_HT3!A14,Grille!C:C,Grille_HT3!B14,Grille!I:I,"Mineur")</f>
        <v>0</v>
      </c>
      <c r="H14" s="71">
        <f>SUMIFS(Grille!Q:Q,Grille!A:A,Grille_HT3!A14,Grille!C:C,Grille_HT3!B14,Grille!I:I,"Mineur")</f>
        <v>0</v>
      </c>
      <c r="I14" s="71">
        <f>SUMIFS(Grille!N:N,Grille!A:A,Grille_HT3!A14,Grille!C:C,Grille_HT3!B14,Grille!I:I,"Mineur")</f>
        <v>0</v>
      </c>
      <c r="J14" s="72" t="str">
        <f t="shared" si="1"/>
        <v>Non appliqué</v>
      </c>
      <c r="K14" s="71">
        <v>5</v>
      </c>
      <c r="L14" s="73">
        <f t="shared" ca="1" si="2"/>
        <v>5.8823529411764705E-2</v>
      </c>
      <c r="M14" s="73" t="str">
        <f t="shared" si="3"/>
        <v>Non appliqué</v>
      </c>
      <c r="N14" s="73">
        <f ca="1">IF(ISNUMBER(F14),F14*L14,F14)</f>
        <v>0</v>
      </c>
      <c r="O14" s="73">
        <f t="shared" ca="1" si="4"/>
        <v>0</v>
      </c>
      <c r="P14" s="73" t="str">
        <f>IF(ISNUMBER(J14),J14*M14,J14)</f>
        <v>Non appliqué</v>
      </c>
      <c r="Q14" s="73">
        <f t="shared" ca="1" si="5"/>
        <v>0</v>
      </c>
      <c r="R14" s="77"/>
      <c r="S14" s="75"/>
      <c r="T14" s="75"/>
      <c r="U14" s="75"/>
      <c r="V14" s="76"/>
      <c r="W14" s="76"/>
      <c r="X14" s="76"/>
      <c r="Y14" s="134">
        <f t="shared" si="8"/>
        <v>10</v>
      </c>
    </row>
    <row r="15" spans="1:25" x14ac:dyDescent="0.3">
      <c r="A15" s="4"/>
      <c r="B15" s="4" t="str">
        <f>A16</f>
        <v>Sanitaires publiques</v>
      </c>
      <c r="C15" s="5"/>
      <c r="D15" s="5"/>
      <c r="E15" s="5"/>
      <c r="F15" s="5"/>
      <c r="G15" s="9"/>
      <c r="H15" s="9"/>
      <c r="I15" s="9"/>
      <c r="J15" s="6"/>
      <c r="K15" s="5"/>
      <c r="L15" s="5"/>
      <c r="M15" s="5"/>
      <c r="N15" s="6"/>
      <c r="O15" s="6"/>
      <c r="P15" s="6"/>
      <c r="Q15" s="6"/>
      <c r="R15" s="70">
        <v>2</v>
      </c>
      <c r="S15" s="7">
        <f t="shared" ca="1" si="6"/>
        <v>0.02</v>
      </c>
      <c r="T15" s="7">
        <f ca="1">IFERROR(S15/SUM(S:S),S15)</f>
        <v>2.5974025974025972E-2</v>
      </c>
      <c r="U15" s="7">
        <f ca="1">IFERROR(T15*O16,T15)</f>
        <v>0</v>
      </c>
      <c r="V15" s="7">
        <f t="shared" ca="1" si="7"/>
        <v>0.02</v>
      </c>
      <c r="W15" s="7">
        <f ca="1">IFERROR(V15/SUM(V:V),V15)</f>
        <v>2.1739130434782608E-2</v>
      </c>
      <c r="X15" s="7">
        <f ca="1">IFERROR(W15*Q16,W15)</f>
        <v>0</v>
      </c>
    </row>
    <row r="16" spans="1:25" x14ac:dyDescent="0.3">
      <c r="A16" s="64" t="s">
        <v>669</v>
      </c>
      <c r="B16" s="65" t="s">
        <v>671</v>
      </c>
      <c r="C16" s="71">
        <f>SUMIFS(Grille!R:R,Grille!A:A,Grille_HT3!A16,Grille!C:C,Grille_HT3!B16,Grille!I:I,"Majeur")</f>
        <v>15</v>
      </c>
      <c r="D16" s="71">
        <f ca="1">SUMIFS(Grille!Q:Q,Grille!A:A,Grille_HT3!A16,Grille!C:C,Grille_HT3!B16,Grille!I:I,"Majeur")</f>
        <v>15</v>
      </c>
      <c r="E16" s="71">
        <f ca="1">SUMIFS(Grille!N:N,Grille!A:A,Grille_HT3!A16,Grille!C:C,Grille_HT3!B16,Grille!I:I,"Majeur")</f>
        <v>0</v>
      </c>
      <c r="F16" s="72">
        <f t="shared" ca="1" si="0"/>
        <v>0</v>
      </c>
      <c r="G16" s="71">
        <f>SUMIFS(Grille!R:R,Grille!A:A,Grille_HT3!A16,Grille!C:C,Grille_HT3!B16,Grille!I:I,"Mineur")</f>
        <v>1</v>
      </c>
      <c r="H16" s="71">
        <f ca="1">SUMIFS(Grille!Q:Q,Grille!A:A,Grille_HT3!A16,Grille!C:C,Grille_HT3!B16,Grille!I:I,"Mineur")</f>
        <v>1</v>
      </c>
      <c r="I16" s="71">
        <f ca="1">SUMIFS(Grille!N:N,Grille!A:A,Grille_HT3!A16,Grille!C:C,Grille_HT3!B16,Grille!I:I,"Mineur")</f>
        <v>0</v>
      </c>
      <c r="J16" s="72">
        <f t="shared" ca="1" si="1"/>
        <v>0</v>
      </c>
      <c r="K16" s="71">
        <v>40</v>
      </c>
      <c r="L16" s="73">
        <f t="shared" ca="1" si="2"/>
        <v>0.4</v>
      </c>
      <c r="M16" s="73">
        <f t="shared" ca="1" si="3"/>
        <v>0.4</v>
      </c>
      <c r="N16" s="73">
        <f ca="1">IF(ISNUMBER(F16),F16*L16,F16)</f>
        <v>0</v>
      </c>
      <c r="O16" s="73">
        <f t="shared" ca="1" si="4"/>
        <v>0</v>
      </c>
      <c r="P16" s="73">
        <f ca="1">IF(ISNUMBER(J16),J16*M16,J16)</f>
        <v>0</v>
      </c>
      <c r="Q16" s="73">
        <f t="shared" ca="1" si="5"/>
        <v>0</v>
      </c>
      <c r="R16" s="77"/>
      <c r="S16" s="75"/>
      <c r="T16" s="75"/>
      <c r="U16" s="75"/>
      <c r="V16" s="76"/>
      <c r="W16" s="76"/>
      <c r="X16" s="76"/>
      <c r="Y16" s="134">
        <v>11</v>
      </c>
    </row>
    <row r="17" spans="1:25" x14ac:dyDescent="0.3">
      <c r="A17" s="64" t="s">
        <v>669</v>
      </c>
      <c r="B17" s="65" t="s">
        <v>673</v>
      </c>
      <c r="C17" s="71">
        <f>SUMIFS(Grille!R:R,Grille!A:A,Grille_HT3!A17,Grille!C:C,Grille_HT3!B17,Grille!I:I,"Majeur")</f>
        <v>9</v>
      </c>
      <c r="D17" s="71">
        <f ca="1">SUMIFS(Grille!Q:Q,Grille!A:A,Grille_HT3!A17,Grille!C:C,Grille_HT3!B17,Grille!I:I,"Majeur")</f>
        <v>9</v>
      </c>
      <c r="E17" s="71">
        <f ca="1">SUMIFS(Grille!N:N,Grille!A:A,Grille_HT3!A17,Grille!C:C,Grille_HT3!B17,Grille!I:I,"Majeur")</f>
        <v>0</v>
      </c>
      <c r="F17" s="72">
        <f t="shared" ca="1" si="0"/>
        <v>0</v>
      </c>
      <c r="G17" s="71">
        <f>SUMIFS(Grille!R:R,Grille!A:A,Grille_HT3!A17,Grille!C:C,Grille_HT3!B17,Grille!I:I,"Mineur")</f>
        <v>1</v>
      </c>
      <c r="H17" s="71">
        <f ca="1">SUMIFS(Grille!Q:Q,Grille!A:A,Grille_HT3!A17,Grille!C:C,Grille_HT3!B17,Grille!I:I,"Mineur")</f>
        <v>1</v>
      </c>
      <c r="I17" s="71">
        <f ca="1">SUMIFS(Grille!N:N,Grille!A:A,Grille_HT3!A17,Grille!C:C,Grille_HT3!B17,Grille!I:I,"Mineur")</f>
        <v>0</v>
      </c>
      <c r="J17" s="72">
        <f t="shared" ca="1" si="1"/>
        <v>0</v>
      </c>
      <c r="K17" s="71">
        <v>30</v>
      </c>
      <c r="L17" s="73">
        <f t="shared" ca="1" si="2"/>
        <v>0.3</v>
      </c>
      <c r="M17" s="73">
        <f t="shared" ca="1" si="3"/>
        <v>0.3</v>
      </c>
      <c r="N17" s="73">
        <f ca="1">IF(ISNUMBER(F17),F17*L17,F17)</f>
        <v>0</v>
      </c>
      <c r="O17" s="73">
        <f t="shared" ca="1" si="4"/>
        <v>0</v>
      </c>
      <c r="P17" s="73">
        <f ca="1">IF(ISNUMBER(J17),J17*M17,J17)</f>
        <v>0</v>
      </c>
      <c r="Q17" s="73">
        <f t="shared" ca="1" si="5"/>
        <v>0</v>
      </c>
      <c r="R17" s="77"/>
      <c r="S17" s="75"/>
      <c r="T17" s="75"/>
      <c r="U17" s="75"/>
      <c r="V17" s="76"/>
      <c r="W17" s="76"/>
      <c r="X17" s="76"/>
      <c r="Y17" s="134">
        <f t="shared" si="8"/>
        <v>12</v>
      </c>
    </row>
    <row r="18" spans="1:25" x14ac:dyDescent="0.3">
      <c r="A18" s="64" t="s">
        <v>669</v>
      </c>
      <c r="B18" s="65" t="s">
        <v>675</v>
      </c>
      <c r="C18" s="71">
        <f>SUMIFS(Grille!R:R,Grille!A:A,Grille_HT3!A18,Grille!C:C,Grille_HT3!B18,Grille!I:I,"Majeur")</f>
        <v>13</v>
      </c>
      <c r="D18" s="71">
        <f ca="1">SUMIFS(Grille!Q:Q,Grille!A:A,Grille_HT3!A18,Grille!C:C,Grille_HT3!B18,Grille!I:I,"Majeur")</f>
        <v>13</v>
      </c>
      <c r="E18" s="71">
        <f ca="1">SUMIFS(Grille!N:N,Grille!A:A,Grille_HT3!A18,Grille!C:C,Grille_HT3!B18,Grille!I:I,"Majeur")</f>
        <v>0</v>
      </c>
      <c r="F18" s="72">
        <f t="shared" ca="1" si="0"/>
        <v>0</v>
      </c>
      <c r="G18" s="71">
        <f>SUMIFS(Grille!R:R,Grille!A:A,Grille_HT3!A18,Grille!C:C,Grille_HT3!B18,Grille!I:I,"Mineur")</f>
        <v>2</v>
      </c>
      <c r="H18" s="71">
        <f ca="1">SUMIFS(Grille!Q:Q,Grille!A:A,Grille_HT3!A18,Grille!C:C,Grille_HT3!B18,Grille!I:I,"Mineur")</f>
        <v>2</v>
      </c>
      <c r="I18" s="71">
        <f ca="1">SUMIFS(Grille!N:N,Grille!A:A,Grille_HT3!A18,Grille!C:C,Grille_HT3!B18,Grille!I:I,"Mineur")</f>
        <v>0</v>
      </c>
      <c r="J18" s="72">
        <f t="shared" ca="1" si="1"/>
        <v>0</v>
      </c>
      <c r="K18" s="71">
        <v>30</v>
      </c>
      <c r="L18" s="73">
        <f t="shared" ca="1" si="2"/>
        <v>0.3</v>
      </c>
      <c r="M18" s="73">
        <f t="shared" ca="1" si="3"/>
        <v>0.3</v>
      </c>
      <c r="N18" s="73">
        <f ca="1">IF(ISNUMBER(F18),F18*L18,F18)</f>
        <v>0</v>
      </c>
      <c r="O18" s="73">
        <f t="shared" ca="1" si="4"/>
        <v>0</v>
      </c>
      <c r="P18" s="73">
        <f ca="1">IF(ISNUMBER(J18),J18*M18,J18)</f>
        <v>0</v>
      </c>
      <c r="Q18" s="73">
        <f t="shared" ca="1" si="5"/>
        <v>0</v>
      </c>
      <c r="R18" s="77"/>
      <c r="S18" s="75"/>
      <c r="T18" s="75"/>
      <c r="U18" s="75"/>
      <c r="V18" s="76"/>
      <c r="W18" s="76"/>
      <c r="X18" s="76"/>
      <c r="Y18" s="134">
        <f t="shared" si="8"/>
        <v>13</v>
      </c>
    </row>
    <row r="19" spans="1:25" x14ac:dyDescent="0.3">
      <c r="A19" s="4"/>
      <c r="B19" s="4" t="str">
        <f>A20</f>
        <v>Circulation</v>
      </c>
      <c r="C19" s="5"/>
      <c r="D19" s="5"/>
      <c r="E19" s="5"/>
      <c r="F19" s="5"/>
      <c r="G19" s="9"/>
      <c r="H19" s="9"/>
      <c r="I19" s="9"/>
      <c r="J19" s="6"/>
      <c r="K19" s="5"/>
      <c r="L19" s="5"/>
      <c r="M19" s="5"/>
      <c r="N19" s="6"/>
      <c r="O19" s="6"/>
      <c r="P19" s="6"/>
      <c r="Q19" s="6"/>
      <c r="R19" s="70">
        <v>3</v>
      </c>
      <c r="S19" s="7">
        <f t="shared" ca="1" si="6"/>
        <v>0.03</v>
      </c>
      <c r="T19" s="7">
        <f ca="1">IFERROR(S19/SUM(S:S),S19)</f>
        <v>3.896103896103896E-2</v>
      </c>
      <c r="U19" s="7">
        <f ca="1">IFERROR(T19*O20,T19)</f>
        <v>0</v>
      </c>
      <c r="V19" s="7">
        <f t="shared" ca="1" si="7"/>
        <v>0.03</v>
      </c>
      <c r="W19" s="7">
        <f ca="1">IFERROR(V19/SUM(V:V),V19)</f>
        <v>3.2608695652173912E-2</v>
      </c>
      <c r="X19" s="7">
        <f ca="1">IFERROR(W19*Q20,W19)</f>
        <v>0</v>
      </c>
    </row>
    <row r="20" spans="1:25" x14ac:dyDescent="0.3">
      <c r="A20" s="64" t="s">
        <v>676</v>
      </c>
      <c r="B20" s="65" t="s">
        <v>677</v>
      </c>
      <c r="C20" s="71">
        <f>SUMIFS(Grille!R:R,Grille!A:A,Grille_HT3!A20,Grille!C:C,Grille_HT3!B20,Grille!I:I,"Majeur")</f>
        <v>19</v>
      </c>
      <c r="D20" s="71">
        <f ca="1">SUMIFS(Grille!Q:Q,Grille!A:A,Grille_HT3!A20,Grille!C:C,Grille_HT3!B20,Grille!I:I,"Majeur")</f>
        <v>19</v>
      </c>
      <c r="E20" s="71">
        <f ca="1">SUMIFS(Grille!N:N,Grille!A:A,Grille_HT3!A20,Grille!C:C,Grille_HT3!B20,Grille!I:I,"Majeur")</f>
        <v>0</v>
      </c>
      <c r="F20" s="72">
        <f t="shared" ca="1" si="0"/>
        <v>0</v>
      </c>
      <c r="G20" s="71">
        <f>SUMIFS(Grille!R:R,Grille!A:A,Grille_HT3!A20,Grille!C:C,Grille_HT3!B20,Grille!I:I,"Mineur")</f>
        <v>2</v>
      </c>
      <c r="H20" s="71">
        <f ca="1">SUMIFS(Grille!Q:Q,Grille!A:A,Grille_HT3!A20,Grille!C:C,Grille_HT3!B20,Grille!I:I,"Mineur")</f>
        <v>2</v>
      </c>
      <c r="I20" s="71">
        <f ca="1">SUMIFS(Grille!N:N,Grille!A:A,Grille_HT3!A20,Grille!C:C,Grille_HT3!B20,Grille!I:I,"Mineur")</f>
        <v>0</v>
      </c>
      <c r="J20" s="72">
        <f t="shared" ca="1" si="1"/>
        <v>0</v>
      </c>
      <c r="K20" s="71">
        <v>70</v>
      </c>
      <c r="L20" s="73">
        <f t="shared" ca="1" si="2"/>
        <v>0.7</v>
      </c>
      <c r="M20" s="73">
        <f t="shared" ca="1" si="3"/>
        <v>0.7</v>
      </c>
      <c r="N20" s="73">
        <f ca="1">IF(ISNUMBER(F20),F20*L20,F20)</f>
        <v>0</v>
      </c>
      <c r="O20" s="73">
        <f t="shared" ca="1" si="4"/>
        <v>0</v>
      </c>
      <c r="P20" s="73">
        <f ca="1">IF(ISNUMBER(J20),J20*M20,J20)</f>
        <v>0</v>
      </c>
      <c r="Q20" s="73">
        <f t="shared" ca="1" si="5"/>
        <v>0</v>
      </c>
      <c r="R20" s="77"/>
      <c r="S20" s="75"/>
      <c r="T20" s="75"/>
      <c r="U20" s="75"/>
      <c r="V20" s="76"/>
      <c r="W20" s="76"/>
      <c r="X20" s="76"/>
      <c r="Y20" s="134">
        <v>14</v>
      </c>
    </row>
    <row r="21" spans="1:25" x14ac:dyDescent="0.3">
      <c r="A21" s="64" t="s">
        <v>676</v>
      </c>
      <c r="B21" s="65" t="s">
        <v>678</v>
      </c>
      <c r="C21" s="71">
        <f>SUMIFS(Grille!R:R,Grille!A:A,Grille_HT3!A21,Grille!C:C,Grille_HT3!B21,Grille!I:I,"Majeur")</f>
        <v>12</v>
      </c>
      <c r="D21" s="71">
        <f ca="1">SUMIFS(Grille!Q:Q,Grille!A:A,Grille_HT3!A21,Grille!C:C,Grille_HT3!B21,Grille!I:I,"Majeur")</f>
        <v>12</v>
      </c>
      <c r="E21" s="71">
        <f ca="1">SUMIFS(Grille!N:N,Grille!A:A,Grille_HT3!A21,Grille!C:C,Grille_HT3!B21,Grille!I:I,"Majeur")</f>
        <v>0</v>
      </c>
      <c r="F21" s="72">
        <f t="shared" ca="1" si="0"/>
        <v>0</v>
      </c>
      <c r="G21" s="71">
        <f>SUMIFS(Grille!R:R,Grille!A:A,Grille_HT3!A21,Grille!C:C,Grille_HT3!B21,Grille!I:I,"Mineur")</f>
        <v>4</v>
      </c>
      <c r="H21" s="71">
        <f ca="1">SUMIFS(Grille!Q:Q,Grille!A:A,Grille_HT3!A21,Grille!C:C,Grille_HT3!B21,Grille!I:I,"Mineur")</f>
        <v>4</v>
      </c>
      <c r="I21" s="71">
        <f ca="1">SUMIFS(Grille!N:N,Grille!A:A,Grille_HT3!A21,Grille!C:C,Grille_HT3!B21,Grille!I:I,"Mineur")</f>
        <v>0</v>
      </c>
      <c r="J21" s="72">
        <f t="shared" ca="1" si="1"/>
        <v>0</v>
      </c>
      <c r="K21" s="71">
        <v>30</v>
      </c>
      <c r="L21" s="73">
        <f t="shared" ca="1" si="2"/>
        <v>0.3</v>
      </c>
      <c r="M21" s="73">
        <f t="shared" ca="1" si="3"/>
        <v>0.3</v>
      </c>
      <c r="N21" s="73">
        <f ca="1">IF(ISNUMBER(F21),F21*L21,F21)</f>
        <v>0</v>
      </c>
      <c r="O21" s="73">
        <f t="shared" ca="1" si="4"/>
        <v>0</v>
      </c>
      <c r="P21" s="73">
        <f ca="1">IF(ISNUMBER(J21),J21*M21,J21)</f>
        <v>0</v>
      </c>
      <c r="Q21" s="73">
        <f t="shared" ca="1" si="5"/>
        <v>0</v>
      </c>
      <c r="R21" s="77"/>
      <c r="S21" s="75"/>
      <c r="T21" s="75"/>
      <c r="U21" s="75"/>
      <c r="V21" s="76"/>
      <c r="W21" s="76"/>
      <c r="X21" s="76"/>
      <c r="Y21" s="134">
        <f t="shared" si="8"/>
        <v>15</v>
      </c>
    </row>
    <row r="22" spans="1:25" x14ac:dyDescent="0.3">
      <c r="A22" s="4"/>
      <c r="B22" s="4" t="str">
        <f>A23</f>
        <v>Petit déjeuner</v>
      </c>
      <c r="C22" s="5"/>
      <c r="D22" s="5"/>
      <c r="E22" s="5"/>
      <c r="F22" s="5"/>
      <c r="G22" s="9"/>
      <c r="H22" s="9"/>
      <c r="I22" s="9"/>
      <c r="J22" s="6"/>
      <c r="K22" s="5"/>
      <c r="L22" s="5"/>
      <c r="M22" s="5"/>
      <c r="N22" s="6"/>
      <c r="O22" s="6"/>
      <c r="P22" s="6"/>
      <c r="Q22" s="6"/>
      <c r="R22" s="70">
        <v>7.5</v>
      </c>
      <c r="S22" s="7">
        <f t="shared" ca="1" si="6"/>
        <v>7.4999999999999997E-2</v>
      </c>
      <c r="T22" s="7">
        <f ca="1">IFERROR(S22/SUM(S:S),S22)</f>
        <v>9.7402597402597393E-2</v>
      </c>
      <c r="U22" s="7">
        <f ca="1">IFERROR(T22*O23,T22)</f>
        <v>0</v>
      </c>
      <c r="V22" s="7">
        <f t="shared" ca="1" si="7"/>
        <v>7.4999999999999997E-2</v>
      </c>
      <c r="W22" s="7">
        <f ca="1">IFERROR(V22/SUM(V:V),V22)</f>
        <v>8.152173913043477E-2</v>
      </c>
      <c r="X22" s="7">
        <f ca="1">IFERROR(W22*Q23,W22)</f>
        <v>0</v>
      </c>
    </row>
    <row r="23" spans="1:25" x14ac:dyDescent="0.3">
      <c r="A23" s="64" t="s">
        <v>680</v>
      </c>
      <c r="B23" s="65" t="s">
        <v>682</v>
      </c>
      <c r="C23" s="71">
        <f>SUMIFS(Grille!R:R,Grille!A:A,Grille_HT3!A23,Grille!C:C,Grille_HT3!B23,Grille!I:I,"Majeur")</f>
        <v>16</v>
      </c>
      <c r="D23" s="71">
        <f ca="1">SUMIFS(Grille!Q:Q,Grille!A:A,Grille_HT3!A23,Grille!C:C,Grille_HT3!B23,Grille!I:I,"Majeur")</f>
        <v>16</v>
      </c>
      <c r="E23" s="71">
        <f ca="1">SUMIFS(Grille!N:N,Grille!A:A,Grille_HT3!A23,Grille!C:C,Grille_HT3!B23,Grille!I:I,"Majeur")</f>
        <v>0</v>
      </c>
      <c r="F23" s="72">
        <f t="shared" ca="1" si="0"/>
        <v>0</v>
      </c>
      <c r="G23" s="71">
        <f>SUMIFS(Grille!R:R,Grille!A:A,Grille_HT3!A23,Grille!C:C,Grille_HT3!B23,Grille!I:I,"Mineur")</f>
        <v>3</v>
      </c>
      <c r="H23" s="71">
        <f ca="1">SUMIFS(Grille!Q:Q,Grille!A:A,Grille_HT3!A23,Grille!C:C,Grille_HT3!B23,Grille!I:I,"Mineur")</f>
        <v>3</v>
      </c>
      <c r="I23" s="71">
        <f ca="1">SUMIFS(Grille!N:N,Grille!A:A,Grille_HT3!A23,Grille!C:C,Grille_HT3!B23,Grille!I:I,"Mineur")</f>
        <v>0</v>
      </c>
      <c r="J23" s="72">
        <f t="shared" ca="1" si="1"/>
        <v>0</v>
      </c>
      <c r="K23" s="71">
        <v>70</v>
      </c>
      <c r="L23" s="73">
        <f t="shared" ca="1" si="2"/>
        <v>0.7</v>
      </c>
      <c r="M23" s="73">
        <f t="shared" ca="1" si="3"/>
        <v>1</v>
      </c>
      <c r="N23" s="73">
        <f ca="1">IF(ISNUMBER(F23),F23*L23,F23)</f>
        <v>0</v>
      </c>
      <c r="O23" s="73">
        <f t="shared" ca="1" si="4"/>
        <v>0</v>
      </c>
      <c r="P23" s="73">
        <f ca="1">IF(ISNUMBER(J23),J23*M23,J23)</f>
        <v>0</v>
      </c>
      <c r="Q23" s="73">
        <f t="shared" ca="1" si="5"/>
        <v>0</v>
      </c>
      <c r="R23" s="77"/>
      <c r="S23" s="75"/>
      <c r="T23" s="75"/>
      <c r="U23" s="75"/>
      <c r="V23" s="76"/>
      <c r="W23" s="76"/>
      <c r="X23" s="76"/>
      <c r="Y23" s="134">
        <v>16</v>
      </c>
    </row>
    <row r="24" spans="1:25" x14ac:dyDescent="0.3">
      <c r="A24" s="64" t="s">
        <v>680</v>
      </c>
      <c r="B24" s="65" t="s">
        <v>685</v>
      </c>
      <c r="C24" s="71">
        <f>SUMIFS(Grille!R:R,Grille!A:A,Grille_HT3!A24,Grille!C:C,Grille_HT3!B24,Grille!I:I,"Majeur")</f>
        <v>18</v>
      </c>
      <c r="D24" s="71">
        <f ca="1">SUMIFS(Grille!Q:Q,Grille!A:A,Grille_HT3!A24,Grille!C:C,Grille_HT3!B24,Grille!I:I,"Majeur")</f>
        <v>18</v>
      </c>
      <c r="E24" s="71">
        <f ca="1">SUMIFS(Grille!N:N,Grille!A:A,Grille_HT3!A24,Grille!C:C,Grille_HT3!B24,Grille!I:I,"Majeur")</f>
        <v>0</v>
      </c>
      <c r="F24" s="72">
        <f t="shared" ca="1" si="0"/>
        <v>0</v>
      </c>
      <c r="G24" s="71">
        <f>SUMIFS(Grille!R:R,Grille!A:A,Grille_HT3!A24,Grille!C:C,Grille_HT3!B24,Grille!I:I,"Mineur")</f>
        <v>0</v>
      </c>
      <c r="H24" s="71">
        <f>SUMIFS(Grille!Q:Q,Grille!A:A,Grille_HT3!A24,Grille!C:C,Grille_HT3!B24,Grille!I:I,"Mineur")</f>
        <v>0</v>
      </c>
      <c r="I24" s="71">
        <f>SUMIFS(Grille!N:N,Grille!A:A,Grille_HT3!A24,Grille!C:C,Grille_HT3!B24,Grille!I:I,"Mineur")</f>
        <v>0</v>
      </c>
      <c r="J24" s="72" t="str">
        <f t="shared" si="1"/>
        <v>Non appliqué</v>
      </c>
      <c r="K24" s="71">
        <v>30</v>
      </c>
      <c r="L24" s="73">
        <f t="shared" ca="1" si="2"/>
        <v>0.3</v>
      </c>
      <c r="M24" s="73" t="str">
        <f t="shared" si="3"/>
        <v>Non appliqué</v>
      </c>
      <c r="N24" s="73">
        <f ca="1">IF(ISNUMBER(F24),F24*L24,F24)</f>
        <v>0</v>
      </c>
      <c r="O24" s="73">
        <f t="shared" ca="1" si="4"/>
        <v>0</v>
      </c>
      <c r="P24" s="73" t="str">
        <f>IF(ISNUMBER(J24),J24*M24,J24)</f>
        <v>Non appliqué</v>
      </c>
      <c r="Q24" s="73">
        <f t="shared" ca="1" si="5"/>
        <v>0</v>
      </c>
      <c r="R24" s="77"/>
      <c r="S24" s="75"/>
      <c r="T24" s="75"/>
      <c r="U24" s="75"/>
      <c r="V24" s="76"/>
      <c r="W24" s="76"/>
      <c r="X24" s="76"/>
      <c r="Y24" s="134">
        <f t="shared" si="8"/>
        <v>17</v>
      </c>
    </row>
    <row r="25" spans="1:25" x14ac:dyDescent="0.3">
      <c r="A25" s="4"/>
      <c r="B25" s="4" t="s">
        <v>686</v>
      </c>
      <c r="C25" s="5"/>
      <c r="D25" s="5"/>
      <c r="E25" s="5"/>
      <c r="F25" s="5"/>
      <c r="G25" s="9"/>
      <c r="H25" s="9"/>
      <c r="I25" s="9"/>
      <c r="J25" s="6"/>
      <c r="K25" s="5"/>
      <c r="L25" s="5"/>
      <c r="M25" s="5"/>
      <c r="N25" s="6"/>
      <c r="O25" s="6"/>
      <c r="P25" s="6"/>
      <c r="Q25" s="6"/>
      <c r="R25" s="70">
        <v>7.5</v>
      </c>
      <c r="S25" s="7">
        <f t="shared" ca="1" si="6"/>
        <v>7.4999999999999997E-2</v>
      </c>
      <c r="T25" s="7">
        <f ca="1">IFERROR(S25/SUM(S:S),S25)</f>
        <v>9.7402597402597393E-2</v>
      </c>
      <c r="U25" s="7">
        <f ca="1">IFERROR(T25*O26,T25)</f>
        <v>0</v>
      </c>
      <c r="V25" s="7">
        <f t="shared" ca="1" si="7"/>
        <v>7.4999999999999997E-2</v>
      </c>
      <c r="W25" s="7">
        <f ca="1">IFERROR(V25/SUM(V:V),V25)</f>
        <v>8.152173913043477E-2</v>
      </c>
      <c r="X25" s="7">
        <f ca="1">IFERROR(W25*Q26,W25)</f>
        <v>0</v>
      </c>
    </row>
    <row r="26" spans="1:25" x14ac:dyDescent="0.3">
      <c r="A26" s="64" t="s">
        <v>686</v>
      </c>
      <c r="B26" s="65" t="s">
        <v>682</v>
      </c>
      <c r="C26" s="71">
        <f>SUMIFS(Grille!R:R,Grille!A:A,Grille_HT3!A26,Grille!C:C,Grille_HT3!B26,Grille!I:I,"Majeur")</f>
        <v>12</v>
      </c>
      <c r="D26" s="71">
        <f ca="1">SUMIFS(Grille!Q:Q,Grille!A:A,Grille_HT3!A26,Grille!C:C,Grille_HT3!B26,Grille!I:I,"Majeur")</f>
        <v>12</v>
      </c>
      <c r="E26" s="71">
        <f ca="1">SUMIFS(Grille!N:N,Grille!A:A,Grille_HT3!A26,Grille!C:C,Grille_HT3!B26,Grille!I:I,"Majeur")</f>
        <v>0</v>
      </c>
      <c r="F26" s="72">
        <f t="shared" ca="1" si="0"/>
        <v>0</v>
      </c>
      <c r="G26" s="71">
        <f>SUMIFS(Grille!R:R,Grille!A:A,Grille_HT3!A26,Grille!C:C,Grille_HT3!B26,Grille!I:I,"Mineur")</f>
        <v>6</v>
      </c>
      <c r="H26" s="71">
        <f ca="1">SUMIFS(Grille!Q:Q,Grille!A:A,Grille_HT3!A26,Grille!C:C,Grille_HT3!B26,Grille!I:I,"Mineur")</f>
        <v>6</v>
      </c>
      <c r="I26" s="71">
        <f ca="1">SUMIFS(Grille!N:N,Grille!A:A,Grille_HT3!A26,Grille!C:C,Grille_HT3!B26,Grille!I:I,"Mineur")</f>
        <v>0</v>
      </c>
      <c r="J26" s="72">
        <f t="shared" ca="1" si="1"/>
        <v>0</v>
      </c>
      <c r="K26" s="71">
        <v>50</v>
      </c>
      <c r="L26" s="73">
        <f t="shared" ca="1" si="2"/>
        <v>0.5</v>
      </c>
      <c r="M26" s="73">
        <f t="shared" ca="1" si="3"/>
        <v>0.5</v>
      </c>
      <c r="N26" s="73">
        <f ca="1">IF(ISNUMBER(F26),F26*L26,F26)</f>
        <v>0</v>
      </c>
      <c r="O26" s="73">
        <f t="shared" ca="1" si="4"/>
        <v>0</v>
      </c>
      <c r="P26" s="73">
        <f ca="1">IF(ISNUMBER(J26),J26*M26,J26)</f>
        <v>0</v>
      </c>
      <c r="Q26" s="73">
        <f t="shared" ca="1" si="5"/>
        <v>0</v>
      </c>
      <c r="R26" s="77"/>
      <c r="S26" s="75"/>
      <c r="T26" s="75"/>
      <c r="U26" s="75"/>
      <c r="V26" s="76"/>
      <c r="W26" s="76"/>
      <c r="X26" s="76"/>
      <c r="Y26" s="134">
        <f>Y24+1</f>
        <v>18</v>
      </c>
    </row>
    <row r="27" spans="1:25" x14ac:dyDescent="0.3">
      <c r="A27" s="64" t="s">
        <v>686</v>
      </c>
      <c r="B27" s="65" t="s">
        <v>685</v>
      </c>
      <c r="C27" s="71">
        <f>SUMIFS(Grille!R:R,Grille!A:A,Grille_HT3!A27,Grille!C:C,Grille_HT3!B27,Grille!I:I,"Majeur")</f>
        <v>20</v>
      </c>
      <c r="D27" s="71">
        <f ca="1">SUMIFS(Grille!Q:Q,Grille!A:A,Grille_HT3!A27,Grille!C:C,Grille_HT3!B27,Grille!I:I,"Majeur")</f>
        <v>20</v>
      </c>
      <c r="E27" s="71">
        <f ca="1">SUMIFS(Grille!N:N,Grille!A:A,Grille_HT3!A27,Grille!C:C,Grille_HT3!B27,Grille!I:I,"Majeur")</f>
        <v>0</v>
      </c>
      <c r="F27" s="72">
        <f t="shared" ca="1" si="0"/>
        <v>0</v>
      </c>
      <c r="G27" s="71">
        <f>SUMIFS(Grille!R:R,Grille!A:A,Grille_HT3!A27,Grille!C:C,Grille_HT3!B27,Grille!I:I,"Mineur")</f>
        <v>4</v>
      </c>
      <c r="H27" s="71">
        <f ca="1">SUMIFS(Grille!Q:Q,Grille!A:A,Grille_HT3!A27,Grille!C:C,Grille_HT3!B27,Grille!I:I,"Mineur")</f>
        <v>4</v>
      </c>
      <c r="I27" s="71">
        <f ca="1">SUMIFS(Grille!N:N,Grille!A:A,Grille_HT3!A27,Grille!C:C,Grille_HT3!B27,Grille!I:I,"Mineur")</f>
        <v>0</v>
      </c>
      <c r="J27" s="72">
        <f t="shared" ca="1" si="1"/>
        <v>0</v>
      </c>
      <c r="K27" s="71">
        <v>50</v>
      </c>
      <c r="L27" s="73">
        <f t="shared" ca="1" si="2"/>
        <v>0.5</v>
      </c>
      <c r="M27" s="73">
        <f t="shared" ca="1" si="3"/>
        <v>0.5</v>
      </c>
      <c r="N27" s="73">
        <f ca="1">IF(ISNUMBER(F27),F27*L27,F27)</f>
        <v>0</v>
      </c>
      <c r="O27" s="73">
        <f t="shared" ca="1" si="4"/>
        <v>0</v>
      </c>
      <c r="P27" s="73">
        <f ca="1">IF(ISNUMBER(J27),J27*M27,J27)</f>
        <v>0</v>
      </c>
      <c r="Q27" s="73">
        <f t="shared" ca="1" si="5"/>
        <v>0</v>
      </c>
      <c r="R27" s="77"/>
      <c r="S27" s="75"/>
      <c r="T27" s="75"/>
      <c r="U27" s="75"/>
      <c r="V27" s="76"/>
      <c r="W27" s="76"/>
      <c r="X27" s="76"/>
      <c r="Y27" s="134">
        <f t="shared" si="8"/>
        <v>19</v>
      </c>
    </row>
    <row r="28" spans="1:25" ht="25.2" x14ac:dyDescent="0.3">
      <c r="A28" s="4"/>
      <c r="B28" s="4" t="s">
        <v>692</v>
      </c>
      <c r="C28" s="5"/>
      <c r="D28" s="5"/>
      <c r="E28" s="5"/>
      <c r="F28" s="5"/>
      <c r="G28" s="9"/>
      <c r="H28" s="9"/>
      <c r="I28" s="9"/>
      <c r="J28" s="6"/>
      <c r="K28" s="5"/>
      <c r="L28" s="5"/>
      <c r="M28" s="5"/>
      <c r="N28" s="6"/>
      <c r="O28" s="6"/>
      <c r="P28" s="6"/>
      <c r="Q28" s="6"/>
      <c r="R28" s="70">
        <v>3</v>
      </c>
      <c r="S28" s="7" t="str">
        <f t="shared" si="6"/>
        <v>Non appliqué</v>
      </c>
      <c r="T28" s="7" t="str">
        <f ca="1">IFERROR(S28/SUM(S:S),S28)</f>
        <v>Non appliqué</v>
      </c>
      <c r="U28" s="7" t="str">
        <f ca="1">IFERROR(T28*O29,T28)</f>
        <v>Non appliqué</v>
      </c>
      <c r="V28" s="7" t="str">
        <f t="shared" si="7"/>
        <v>Non appliqué</v>
      </c>
      <c r="W28" s="7" t="str">
        <f ca="1">IFERROR(V28/SUM(V:V),V28)</f>
        <v>Non appliqué</v>
      </c>
      <c r="X28" s="7" t="str">
        <f ca="1">IFERROR(W28*Q29,W28)</f>
        <v>Non appliqué</v>
      </c>
    </row>
    <row r="29" spans="1:25" x14ac:dyDescent="0.3">
      <c r="A29" s="64" t="s">
        <v>692</v>
      </c>
      <c r="B29" s="65" t="s">
        <v>682</v>
      </c>
      <c r="C29" s="71">
        <f>SUMIFS(Grille!R:R,Grille!A:A,Grille_HT3!A29,Grille!C:C,Grille_HT3!B29,Grille!I:I,"Majeur")</f>
        <v>0</v>
      </c>
      <c r="D29" s="71">
        <f>SUMIFS(Grille!Q:Q,Grille!A:A,Grille_HT3!A29,Grille!C:C,Grille_HT3!B29,Grille!I:I,"Majeur")</f>
        <v>0</v>
      </c>
      <c r="E29" s="71">
        <f>SUMIFS(Grille!N:N,Grille!A:A,Grille_HT3!A29,Grille!C:C,Grille_HT3!B29,Grille!I:I,"Majeur")</f>
        <v>0</v>
      </c>
      <c r="F29" s="72" t="str">
        <f t="shared" si="0"/>
        <v>Non appliqué</v>
      </c>
      <c r="G29" s="71">
        <f>SUMIFS(Grille!R:R,Grille!A:A,Grille_HT3!A29,Grille!C:C,Grille_HT3!B29,Grille!I:I,"Mineur")</f>
        <v>0</v>
      </c>
      <c r="H29" s="71">
        <f>SUMIFS(Grille!Q:Q,Grille!A:A,Grille_HT3!A29,Grille!C:C,Grille_HT3!B29,Grille!I:I,"Mineur")</f>
        <v>0</v>
      </c>
      <c r="I29" s="71">
        <f>SUMIFS(Grille!N:N,Grille!A:A,Grille_HT3!A29,Grille!C:C,Grille_HT3!B29,Grille!I:I,"Mineur")</f>
        <v>0</v>
      </c>
      <c r="J29" s="72" t="str">
        <f t="shared" si="1"/>
        <v>Non appliqué</v>
      </c>
      <c r="K29" s="71">
        <v>50</v>
      </c>
      <c r="L29" s="73" t="str">
        <f t="shared" si="2"/>
        <v>Non appliqué</v>
      </c>
      <c r="M29" s="73" t="str">
        <f t="shared" si="3"/>
        <v>Non appliqué</v>
      </c>
      <c r="N29" s="73" t="str">
        <f>IF(ISNUMBER(F29),F29*L29,F29)</f>
        <v>Non appliqué</v>
      </c>
      <c r="O29" s="73" t="str">
        <f t="shared" si="4"/>
        <v>Non appliqué</v>
      </c>
      <c r="P29" s="73" t="str">
        <f>IF(ISNUMBER(J29),J29*M29,J29)</f>
        <v>Non appliqué</v>
      </c>
      <c r="Q29" s="73" t="str">
        <f t="shared" si="5"/>
        <v>Non appliqué</v>
      </c>
      <c r="R29" s="77"/>
      <c r="S29" s="75"/>
      <c r="T29" s="75"/>
      <c r="U29" s="75"/>
      <c r="V29" s="76"/>
      <c r="W29" s="76"/>
      <c r="X29" s="76"/>
      <c r="Y29" s="134">
        <f>Y27+1</f>
        <v>20</v>
      </c>
    </row>
    <row r="30" spans="1:25" x14ac:dyDescent="0.3">
      <c r="A30" s="64" t="s">
        <v>692</v>
      </c>
      <c r="B30" s="65" t="s">
        <v>685</v>
      </c>
      <c r="C30" s="71">
        <f>SUMIFS(Grille!R:R,Grille!A:A,Grille_HT3!A30,Grille!C:C,Grille_HT3!B30,Grille!I:I,"Majeur")</f>
        <v>0</v>
      </c>
      <c r="D30" s="71">
        <f>SUMIFS(Grille!Q:Q,Grille!A:A,Grille_HT3!A30,Grille!C:C,Grille_HT3!B30,Grille!I:I,"Majeur")</f>
        <v>0</v>
      </c>
      <c r="E30" s="71">
        <f>SUMIFS(Grille!N:N,Grille!A:A,Grille_HT3!A30,Grille!C:C,Grille_HT3!B30,Grille!I:I,"Majeur")</f>
        <v>0</v>
      </c>
      <c r="F30" s="72" t="str">
        <f t="shared" si="0"/>
        <v>Non appliqué</v>
      </c>
      <c r="G30" s="71">
        <f>SUMIFS(Grille!R:R,Grille!A:A,Grille_HT3!A30,Grille!C:C,Grille_HT3!B30,Grille!I:I,"Mineur")</f>
        <v>0</v>
      </c>
      <c r="H30" s="71">
        <f>SUMIFS(Grille!Q:Q,Grille!A:A,Grille_HT3!A30,Grille!C:C,Grille_HT3!B30,Grille!I:I,"Mineur")</f>
        <v>0</v>
      </c>
      <c r="I30" s="71">
        <f>SUMIFS(Grille!N:N,Grille!A:A,Grille_HT3!A30,Grille!C:C,Grille_HT3!B30,Grille!I:I,"Mineur")</f>
        <v>0</v>
      </c>
      <c r="J30" s="72" t="str">
        <f t="shared" si="1"/>
        <v>Non appliqué</v>
      </c>
      <c r="K30" s="71">
        <v>50</v>
      </c>
      <c r="L30" s="73" t="str">
        <f t="shared" si="2"/>
        <v>Non appliqué</v>
      </c>
      <c r="M30" s="73" t="str">
        <f t="shared" si="3"/>
        <v>Non appliqué</v>
      </c>
      <c r="N30" s="73" t="str">
        <f>IF(ISNUMBER(F30),F30*L30,F30)</f>
        <v>Non appliqué</v>
      </c>
      <c r="O30" s="73" t="str">
        <f t="shared" si="4"/>
        <v>Non appliqué</v>
      </c>
      <c r="P30" s="73" t="str">
        <f>IF(ISNUMBER(J30),J30*M30,J30)</f>
        <v>Non appliqué</v>
      </c>
      <c r="Q30" s="73" t="str">
        <f t="shared" si="5"/>
        <v>Non appliqué</v>
      </c>
      <c r="R30" s="77"/>
      <c r="S30" s="75"/>
      <c r="T30" s="75"/>
      <c r="U30" s="75"/>
      <c r="V30" s="76"/>
      <c r="W30" s="76"/>
      <c r="X30" s="76"/>
      <c r="Y30" s="134">
        <f t="shared" si="8"/>
        <v>21</v>
      </c>
    </row>
    <row r="31" spans="1:25" x14ac:dyDescent="0.3">
      <c r="A31" s="4"/>
      <c r="B31" s="4" t="str">
        <f>A32</f>
        <v>Bar</v>
      </c>
      <c r="C31" s="5"/>
      <c r="D31" s="5"/>
      <c r="E31" s="5"/>
      <c r="F31" s="5"/>
      <c r="G31" s="9"/>
      <c r="H31" s="9"/>
      <c r="I31" s="9"/>
      <c r="J31" s="6"/>
      <c r="K31" s="5"/>
      <c r="L31" s="5"/>
      <c r="M31" s="5"/>
      <c r="N31" s="6"/>
      <c r="O31" s="6"/>
      <c r="P31" s="6"/>
      <c r="Q31" s="6"/>
      <c r="R31" s="70">
        <v>5</v>
      </c>
      <c r="S31" s="7">
        <f t="shared" ca="1" si="6"/>
        <v>0.05</v>
      </c>
      <c r="T31" s="7">
        <f ca="1">IFERROR(S31/SUM(S:S),S31)</f>
        <v>6.4935064935064943E-2</v>
      </c>
      <c r="U31" s="7">
        <f ca="1">IFERROR(T31*O32,T31)</f>
        <v>0</v>
      </c>
      <c r="V31" s="7">
        <f t="shared" ca="1" si="7"/>
        <v>0.05</v>
      </c>
      <c r="W31" s="7">
        <f ca="1">IFERROR(V31/SUM(V:V),V31)</f>
        <v>5.434782608695652E-2</v>
      </c>
      <c r="X31" s="7">
        <f ca="1">IFERROR(W31*Q32,W31)</f>
        <v>0</v>
      </c>
    </row>
    <row r="32" spans="1:25" x14ac:dyDescent="0.3">
      <c r="A32" s="64" t="s">
        <v>694</v>
      </c>
      <c r="B32" s="64" t="s">
        <v>682</v>
      </c>
      <c r="C32" s="71">
        <f>SUMIFS(Grille!R:R,Grille!A:A,Grille_HT3!A32,Grille!C:C,Grille_HT3!B32,Grille!I:I,"Majeur")</f>
        <v>11</v>
      </c>
      <c r="D32" s="71">
        <f ca="1">SUMIFS(Grille!Q:Q,Grille!A:A,Grille_HT3!A32,Grille!C:C,Grille_HT3!B32,Grille!I:I,"Majeur")</f>
        <v>11</v>
      </c>
      <c r="E32" s="71">
        <f ca="1">SUMIFS(Grille!N:N,Grille!A:A,Grille_HT3!A32,Grille!C:C,Grille_HT3!B32,Grille!I:I,"Majeur")</f>
        <v>0</v>
      </c>
      <c r="F32" s="72">
        <f t="shared" ca="1" si="0"/>
        <v>0</v>
      </c>
      <c r="G32" s="71">
        <f>SUMIFS(Grille!R:R,Grille!A:A,Grille_HT3!A32,Grille!C:C,Grille_HT3!B32,Grille!I:I,"Mineur")</f>
        <v>5</v>
      </c>
      <c r="H32" s="71">
        <f ca="1">SUMIFS(Grille!Q:Q,Grille!A:A,Grille_HT3!A32,Grille!C:C,Grille_HT3!B32,Grille!I:I,"Mineur")</f>
        <v>5</v>
      </c>
      <c r="I32" s="71">
        <f ca="1">SUMIFS(Grille!N:N,Grille!A:A,Grille_HT3!A32,Grille!C:C,Grille_HT3!B32,Grille!I:I,"Mineur")</f>
        <v>0</v>
      </c>
      <c r="J32" s="72">
        <f t="shared" ca="1" si="1"/>
        <v>0</v>
      </c>
      <c r="K32" s="71">
        <v>50</v>
      </c>
      <c r="L32" s="73">
        <f t="shared" ca="1" si="2"/>
        <v>0.5</v>
      </c>
      <c r="M32" s="73">
        <f t="shared" ca="1" si="3"/>
        <v>0.5</v>
      </c>
      <c r="N32" s="73">
        <f ca="1">IF(ISNUMBER(F32),F32*L32,F32)</f>
        <v>0</v>
      </c>
      <c r="O32" s="73">
        <f t="shared" ca="1" si="4"/>
        <v>0</v>
      </c>
      <c r="P32" s="73">
        <f ca="1">IF(ISNUMBER(J32),J32*M32,J32)</f>
        <v>0</v>
      </c>
      <c r="Q32" s="73">
        <f t="shared" ca="1" si="5"/>
        <v>0</v>
      </c>
      <c r="R32" s="77"/>
      <c r="S32" s="75"/>
      <c r="T32" s="75"/>
      <c r="U32" s="75"/>
      <c r="V32" s="76"/>
      <c r="W32" s="76"/>
      <c r="X32" s="76"/>
      <c r="Y32" s="134">
        <f>Y30+1</f>
        <v>22</v>
      </c>
    </row>
    <row r="33" spans="1:25" x14ac:dyDescent="0.3">
      <c r="A33" s="64" t="s">
        <v>694</v>
      </c>
      <c r="B33" s="64" t="s">
        <v>685</v>
      </c>
      <c r="C33" s="71">
        <f>SUMIFS(Grille!R:R,Grille!A:A,Grille_HT3!A33,Grille!C:C,Grille_HT3!B33,Grille!I:I,"Majeur")</f>
        <v>33</v>
      </c>
      <c r="D33" s="71">
        <f ca="1">SUMIFS(Grille!Q:Q,Grille!A:A,Grille_HT3!A33,Grille!C:C,Grille_HT3!B33,Grille!I:I,"Majeur")</f>
        <v>33</v>
      </c>
      <c r="E33" s="71">
        <f ca="1">SUMIFS(Grille!N:N,Grille!A:A,Grille_HT3!A33,Grille!C:C,Grille_HT3!B33,Grille!I:I,"Majeur")</f>
        <v>0</v>
      </c>
      <c r="F33" s="72">
        <f t="shared" ca="1" si="0"/>
        <v>0</v>
      </c>
      <c r="G33" s="71">
        <f>SUMIFS(Grille!R:R,Grille!A:A,Grille_HT3!A33,Grille!C:C,Grille_HT3!B33,Grille!I:I,"Mineur")</f>
        <v>4</v>
      </c>
      <c r="H33" s="71">
        <f ca="1">SUMIFS(Grille!Q:Q,Grille!A:A,Grille_HT3!A33,Grille!C:C,Grille_HT3!B33,Grille!I:I,"Mineur")</f>
        <v>4</v>
      </c>
      <c r="I33" s="71">
        <f ca="1">SUMIFS(Grille!N:N,Grille!A:A,Grille_HT3!A33,Grille!C:C,Grille_HT3!B33,Grille!I:I,"Mineur")</f>
        <v>0</v>
      </c>
      <c r="J33" s="72">
        <f t="shared" ca="1" si="1"/>
        <v>0</v>
      </c>
      <c r="K33" s="71">
        <v>50</v>
      </c>
      <c r="L33" s="73">
        <f t="shared" ca="1" si="2"/>
        <v>0.5</v>
      </c>
      <c r="M33" s="73">
        <f t="shared" ca="1" si="3"/>
        <v>0.5</v>
      </c>
      <c r="N33" s="73">
        <f ca="1">IF(ISNUMBER(F33),F33*L33,F33)</f>
        <v>0</v>
      </c>
      <c r="O33" s="73">
        <f t="shared" ca="1" si="4"/>
        <v>0</v>
      </c>
      <c r="P33" s="73">
        <f ca="1">IF(ISNUMBER(J33),J33*M33,J33)</f>
        <v>0</v>
      </c>
      <c r="Q33" s="73">
        <f t="shared" ca="1" si="5"/>
        <v>0</v>
      </c>
      <c r="R33" s="77"/>
      <c r="S33" s="75"/>
      <c r="T33" s="75"/>
      <c r="U33" s="75"/>
      <c r="V33" s="76"/>
      <c r="W33" s="76"/>
      <c r="X33" s="76"/>
      <c r="Y33" s="134">
        <f t="shared" si="8"/>
        <v>23</v>
      </c>
    </row>
    <row r="34" spans="1:25" ht="25.2" x14ac:dyDescent="0.3">
      <c r="A34" s="4"/>
      <c r="B34" s="4" t="s">
        <v>699</v>
      </c>
      <c r="C34" s="5"/>
      <c r="D34" s="5"/>
      <c r="E34" s="5"/>
      <c r="F34" s="5"/>
      <c r="G34" s="9"/>
      <c r="H34" s="9"/>
      <c r="I34" s="9"/>
      <c r="J34" s="6"/>
      <c r="K34" s="5"/>
      <c r="L34" s="5"/>
      <c r="M34" s="5"/>
      <c r="N34" s="6"/>
      <c r="O34" s="6"/>
      <c r="P34" s="6"/>
      <c r="Q34" s="6"/>
      <c r="R34" s="70">
        <v>5</v>
      </c>
      <c r="S34" s="7" t="str">
        <f t="shared" si="6"/>
        <v>Non appliqué</v>
      </c>
      <c r="T34" s="7" t="str">
        <f ca="1">IFERROR(S34/SUM(S:S),S34)</f>
        <v>Non appliqué</v>
      </c>
      <c r="U34" s="7" t="str">
        <f ca="1">IFERROR(T34*O35,T34)</f>
        <v>Non appliqué</v>
      </c>
      <c r="V34" s="7">
        <f t="shared" ca="1" si="7"/>
        <v>0.05</v>
      </c>
      <c r="W34" s="7">
        <f ca="1">IFERROR(V34/SUM(V:V),V34)</f>
        <v>5.434782608695652E-2</v>
      </c>
      <c r="X34" s="7">
        <f ca="1">IFERROR(W34*Q35,W34)</f>
        <v>0</v>
      </c>
    </row>
    <row r="35" spans="1:25" ht="25.2" x14ac:dyDescent="0.3">
      <c r="A35" s="64" t="s">
        <v>699</v>
      </c>
      <c r="B35" s="64" t="s">
        <v>701</v>
      </c>
      <c r="C35" s="71">
        <f>SUMIFS(Grille!R:R,Grille!A:A,Grille_HT3!A35,Grille!C:C,Grille_HT3!B35,Grille!I:I,"Majeur")</f>
        <v>0</v>
      </c>
      <c r="D35" s="71">
        <f>SUMIFS(Grille!Q:Q,Grille!A:A,Grille_HT3!A35,Grille!C:C,Grille_HT3!B35,Grille!I:I,"Majeur")</f>
        <v>0</v>
      </c>
      <c r="E35" s="71">
        <f>SUMIFS(Grille!N:N,Grille!A:A,Grille_HT3!A35,Grille!C:C,Grille_HT3!B35,Grille!I:I,"Majeur")</f>
        <v>0</v>
      </c>
      <c r="F35" s="72" t="str">
        <f t="shared" si="0"/>
        <v>Non appliqué</v>
      </c>
      <c r="G35" s="71">
        <f>SUMIFS(Grille!R:R,Grille!A:A,Grille_HT3!A35,Grille!C:C,Grille_HT3!B35,Grille!I:I,"Mineur")</f>
        <v>12</v>
      </c>
      <c r="H35" s="71">
        <f ca="1">SUMIFS(Grille!Q:Q,Grille!A:A,Grille_HT3!A35,Grille!C:C,Grille_HT3!B35,Grille!I:I,"Mineur")</f>
        <v>12</v>
      </c>
      <c r="I35" s="71">
        <f ca="1">SUMIFS(Grille!N:N,Grille!A:A,Grille_HT3!A35,Grille!C:C,Grille_HT3!B35,Grille!I:I,"Mineur")</f>
        <v>0</v>
      </c>
      <c r="J35" s="72">
        <f t="shared" ca="1" si="1"/>
        <v>0</v>
      </c>
      <c r="K35" s="71">
        <v>40</v>
      </c>
      <c r="L35" s="73" t="str">
        <f t="shared" si="2"/>
        <v>Non appliqué</v>
      </c>
      <c r="M35" s="73">
        <f t="shared" ca="1" si="3"/>
        <v>0.32520325203252032</v>
      </c>
      <c r="N35" s="73" t="str">
        <f>IF(ISNUMBER(F35),F35*L35,F35)</f>
        <v>Non appliqué</v>
      </c>
      <c r="O35" s="73" t="str">
        <f t="shared" si="4"/>
        <v>Non appliqué</v>
      </c>
      <c r="P35" s="73">
        <f ca="1">IF(ISNUMBER(J35),J35*M35,J35)</f>
        <v>0</v>
      </c>
      <c r="Q35" s="73">
        <f t="shared" ca="1" si="5"/>
        <v>0</v>
      </c>
      <c r="R35" s="77"/>
      <c r="S35" s="75"/>
      <c r="T35" s="75"/>
      <c r="U35" s="75"/>
      <c r="V35" s="76"/>
      <c r="W35" s="76"/>
      <c r="X35" s="76"/>
      <c r="Y35" s="134">
        <f>Y33+1</f>
        <v>24</v>
      </c>
    </row>
    <row r="36" spans="1:25" ht="25.2" x14ac:dyDescent="0.3">
      <c r="A36" s="64" t="s">
        <v>699</v>
      </c>
      <c r="B36" s="64" t="s">
        <v>702</v>
      </c>
      <c r="C36" s="71">
        <f>SUMIFS(Grille!R:R,Grille!A:A,Grille_HT3!A36,Grille!C:C,Grille_HT3!B36,Grille!I:I,"Majeur")</f>
        <v>0</v>
      </c>
      <c r="D36" s="71">
        <f>SUMIFS(Grille!Q:Q,Grille!A:A,Grille_HT3!A36,Grille!C:C,Grille_HT3!B36,Grille!I:I,"Majeur")</f>
        <v>0</v>
      </c>
      <c r="E36" s="71">
        <f>SUMIFS(Grille!N:N,Grille!A:A,Grille_HT3!A36,Grille!C:C,Grille_HT3!B36,Grille!I:I,"Majeur")</f>
        <v>0</v>
      </c>
      <c r="F36" s="72" t="str">
        <f t="shared" si="0"/>
        <v>Non appliqué</v>
      </c>
      <c r="G36" s="71">
        <f>SUMIFS(Grille!R:R,Grille!A:A,Grille_HT3!A36,Grille!C:C,Grille_HT3!B36,Grille!I:I,"Mineur")</f>
        <v>12</v>
      </c>
      <c r="H36" s="71">
        <f ca="1">SUMIFS(Grille!Q:Q,Grille!A:A,Grille_HT3!A36,Grille!C:C,Grille_HT3!B36,Grille!I:I,"Mineur")</f>
        <v>12</v>
      </c>
      <c r="I36" s="71">
        <f ca="1">SUMIFS(Grille!N:N,Grille!A:A,Grille_HT3!A36,Grille!C:C,Grille_HT3!B36,Grille!I:I,"Mineur")</f>
        <v>0</v>
      </c>
      <c r="J36" s="72">
        <f t="shared" ca="1" si="1"/>
        <v>0</v>
      </c>
      <c r="K36" s="71">
        <v>41</v>
      </c>
      <c r="L36" s="73" t="str">
        <f t="shared" si="2"/>
        <v>Non appliqué</v>
      </c>
      <c r="M36" s="73">
        <f t="shared" ca="1" si="3"/>
        <v>0.33333333333333331</v>
      </c>
      <c r="N36" s="73" t="str">
        <f>IF(ISNUMBER(F36),F36*L36,F36)</f>
        <v>Non appliqué</v>
      </c>
      <c r="O36" s="73" t="str">
        <f t="shared" si="4"/>
        <v>Non appliqué</v>
      </c>
      <c r="P36" s="73">
        <f ca="1">IF(ISNUMBER(J36),J36*M36,J36)</f>
        <v>0</v>
      </c>
      <c r="Q36" s="73">
        <f t="shared" ca="1" si="5"/>
        <v>0</v>
      </c>
      <c r="R36" s="77"/>
      <c r="S36" s="75"/>
      <c r="T36" s="75"/>
      <c r="U36" s="75"/>
      <c r="V36" s="76"/>
      <c r="W36" s="76"/>
      <c r="X36" s="76"/>
      <c r="Y36" s="134">
        <f t="shared" si="8"/>
        <v>25</v>
      </c>
    </row>
    <row r="37" spans="1:25" ht="25.2" x14ac:dyDescent="0.3">
      <c r="A37" s="64" t="s">
        <v>699</v>
      </c>
      <c r="B37" s="64" t="s">
        <v>703</v>
      </c>
      <c r="C37" s="71">
        <f>SUMIFS(Grille!R:R,Grille!A:A,Grille_HT3!A37,Grille!C:C,Grille_HT3!B37,Grille!I:I,"Majeur")</f>
        <v>0</v>
      </c>
      <c r="D37" s="71">
        <f>SUMIFS(Grille!Q:Q,Grille!A:A,Grille_HT3!A37,Grille!C:C,Grille_HT3!B37,Grille!I:I,"Majeur")</f>
        <v>0</v>
      </c>
      <c r="E37" s="71">
        <f>SUMIFS(Grille!N:N,Grille!A:A,Grille_HT3!A37,Grille!C:C,Grille_HT3!B37,Grille!I:I,"Majeur")</f>
        <v>0</v>
      </c>
      <c r="F37" s="72" t="str">
        <f t="shared" si="0"/>
        <v>Non appliqué</v>
      </c>
      <c r="G37" s="71">
        <f>SUMIFS(Grille!R:R,Grille!A:A,Grille_HT3!A37,Grille!C:C,Grille_HT3!B37,Grille!I:I,"Mineur")</f>
        <v>14</v>
      </c>
      <c r="H37" s="71">
        <f ca="1">SUMIFS(Grille!Q:Q,Grille!A:A,Grille_HT3!A37,Grille!C:C,Grille_HT3!B37,Grille!I:I,"Mineur")</f>
        <v>14</v>
      </c>
      <c r="I37" s="71">
        <f ca="1">SUMIFS(Grille!N:N,Grille!A:A,Grille_HT3!A37,Grille!C:C,Grille_HT3!B37,Grille!I:I,"Mineur")</f>
        <v>0</v>
      </c>
      <c r="J37" s="72">
        <f t="shared" ca="1" si="1"/>
        <v>0</v>
      </c>
      <c r="K37" s="71">
        <v>42</v>
      </c>
      <c r="L37" s="73" t="str">
        <f t="shared" si="2"/>
        <v>Non appliqué</v>
      </c>
      <c r="M37" s="73">
        <f t="shared" ca="1" si="3"/>
        <v>0.34146341463414637</v>
      </c>
      <c r="N37" s="73" t="str">
        <f>IF(ISNUMBER(F37),F37*L37,F37)</f>
        <v>Non appliqué</v>
      </c>
      <c r="O37" s="73" t="str">
        <f t="shared" si="4"/>
        <v>Non appliqué</v>
      </c>
      <c r="P37" s="73">
        <f ca="1">IF(ISNUMBER(J37),J37*M37,J37)</f>
        <v>0</v>
      </c>
      <c r="Q37" s="73">
        <f t="shared" ca="1" si="5"/>
        <v>0</v>
      </c>
      <c r="R37" s="77"/>
      <c r="S37" s="75"/>
      <c r="T37" s="75"/>
      <c r="U37" s="75"/>
      <c r="V37" s="76"/>
      <c r="W37" s="76"/>
      <c r="X37" s="76"/>
      <c r="Y37" s="134">
        <f t="shared" si="8"/>
        <v>26</v>
      </c>
    </row>
    <row r="38" spans="1:25" ht="25.2" x14ac:dyDescent="0.3">
      <c r="A38" s="4"/>
      <c r="B38" s="4" t="str">
        <f>A39</f>
        <v>Bien-être et fitness</v>
      </c>
      <c r="C38" s="5"/>
      <c r="D38" s="5"/>
      <c r="E38" s="5"/>
      <c r="F38" s="5"/>
      <c r="G38" s="9"/>
      <c r="H38" s="9"/>
      <c r="I38" s="9"/>
      <c r="J38" s="6"/>
      <c r="K38" s="5"/>
      <c r="L38" s="5"/>
      <c r="M38" s="5"/>
      <c r="N38" s="6"/>
      <c r="O38" s="6"/>
      <c r="P38" s="6"/>
      <c r="Q38" s="6"/>
      <c r="R38" s="70">
        <v>5</v>
      </c>
      <c r="S38" s="7" t="str">
        <f t="shared" si="6"/>
        <v>Non appliqué</v>
      </c>
      <c r="T38" s="7" t="str">
        <f ca="1">IFERROR(S38/SUM(S:S),S38)</f>
        <v>Non appliqué</v>
      </c>
      <c r="U38" s="7" t="str">
        <f ca="1">IFERROR(T38*O39,T38)</f>
        <v>Non appliqué</v>
      </c>
      <c r="V38" s="7">
        <f t="shared" ca="1" si="7"/>
        <v>0.05</v>
      </c>
      <c r="W38" s="7">
        <f ca="1">IFERROR(V38/SUM(V:V),V38)</f>
        <v>5.434782608695652E-2</v>
      </c>
      <c r="X38" s="7">
        <f ca="1">IFERROR(W38*Q39,W38)</f>
        <v>0</v>
      </c>
    </row>
    <row r="39" spans="1:25" x14ac:dyDescent="0.3">
      <c r="A39" s="64" t="s">
        <v>704</v>
      </c>
      <c r="B39" s="64" t="s">
        <v>706</v>
      </c>
      <c r="C39" s="71">
        <f>SUMIFS(Grille!R:R,Grille!A:A,Grille_HT3!A39,Grille!C:C,Grille_HT3!B39,Grille!I:I,"Majeur")</f>
        <v>0</v>
      </c>
      <c r="D39" s="71">
        <f>SUMIFS(Grille!Q:Q,Grille!A:A,Grille_HT3!A39,Grille!C:C,Grille_HT3!B39,Grille!I:I,"Majeur")</f>
        <v>0</v>
      </c>
      <c r="E39" s="71">
        <f>SUMIFS(Grille!N:N,Grille!A:A,Grille_HT3!A39,Grille!C:C,Grille_HT3!B39,Grille!I:I,"Majeur")</f>
        <v>0</v>
      </c>
      <c r="F39" s="72" t="str">
        <f t="shared" si="0"/>
        <v>Non appliqué</v>
      </c>
      <c r="G39" s="71">
        <f>SUMIFS(Grille!R:R,Grille!A:A,Grille_HT3!A39,Grille!C:C,Grille_HT3!B39,Grille!I:I,"Mineur")</f>
        <v>0</v>
      </c>
      <c r="H39" s="71">
        <f>SUMIFS(Grille!Q:Q,Grille!A:A,Grille_HT3!A39,Grille!C:C,Grille_HT3!B39,Grille!I:I,"Mineur")</f>
        <v>0</v>
      </c>
      <c r="I39" s="71">
        <f>SUMIFS(Grille!N:N,Grille!A:A,Grille_HT3!A39,Grille!C:C,Grille_HT3!B39,Grille!I:I,"Mineur")</f>
        <v>0</v>
      </c>
      <c r="J39" s="72" t="str">
        <f t="shared" si="1"/>
        <v>Non appliqué</v>
      </c>
      <c r="K39" s="71">
        <v>10</v>
      </c>
      <c r="L39" s="73" t="str">
        <f t="shared" si="2"/>
        <v>Non appliqué</v>
      </c>
      <c r="M39" s="73" t="str">
        <f t="shared" si="3"/>
        <v>Non appliqué</v>
      </c>
      <c r="N39" s="73" t="str">
        <f t="shared" ref="N39:N46" si="9">IF(ISNUMBER(F39),F39*L39,F39)</f>
        <v>Non appliqué</v>
      </c>
      <c r="O39" s="73" t="str">
        <f t="shared" si="4"/>
        <v>Non appliqué</v>
      </c>
      <c r="P39" s="73" t="str">
        <f t="shared" ref="P39:P46" si="10">IF(ISNUMBER(J39),J39*M39,J39)</f>
        <v>Non appliqué</v>
      </c>
      <c r="Q39" s="73">
        <f t="shared" ca="1" si="5"/>
        <v>0</v>
      </c>
      <c r="R39" s="77"/>
      <c r="S39" s="75"/>
      <c r="T39" s="75"/>
      <c r="U39" s="75"/>
      <c r="V39" s="76"/>
      <c r="W39" s="76"/>
      <c r="X39" s="76"/>
      <c r="Y39" s="134">
        <f>Y37+1</f>
        <v>27</v>
      </c>
    </row>
    <row r="40" spans="1:25" x14ac:dyDescent="0.3">
      <c r="A40" s="64" t="s">
        <v>704</v>
      </c>
      <c r="B40" s="64" t="s">
        <v>707</v>
      </c>
      <c r="C40" s="71">
        <f>SUMIFS(Grille!R:R,Grille!A:A,Grille_HT3!A40,Grille!C:C,Grille_HT3!B40,Grille!I:I,"Majeur")</f>
        <v>0</v>
      </c>
      <c r="D40" s="71">
        <f>SUMIFS(Grille!Q:Q,Grille!A:A,Grille_HT3!A40,Grille!C:C,Grille_HT3!B40,Grille!I:I,"Majeur")</f>
        <v>0</v>
      </c>
      <c r="E40" s="71">
        <f>SUMIFS(Grille!N:N,Grille!A:A,Grille_HT3!A40,Grille!C:C,Grille_HT3!B40,Grille!I:I,"Majeur")</f>
        <v>0</v>
      </c>
      <c r="F40" s="72" t="str">
        <f t="shared" si="0"/>
        <v>Non appliqué</v>
      </c>
      <c r="G40" s="71">
        <f>SUMIFS(Grille!R:R,Grille!A:A,Grille_HT3!A40,Grille!C:C,Grille_HT3!B40,Grille!I:I,"Mineur")</f>
        <v>0</v>
      </c>
      <c r="H40" s="71">
        <f>SUMIFS(Grille!Q:Q,Grille!A:A,Grille_HT3!A40,Grille!C:C,Grille_HT3!B40,Grille!I:I,"Mineur")</f>
        <v>0</v>
      </c>
      <c r="I40" s="71">
        <f>SUMIFS(Grille!N:N,Grille!A:A,Grille_HT3!A40,Grille!C:C,Grille_HT3!B40,Grille!I:I,"Mineur")</f>
        <v>0</v>
      </c>
      <c r="J40" s="72" t="str">
        <f t="shared" si="1"/>
        <v>Non appliqué</v>
      </c>
      <c r="K40" s="71">
        <v>10</v>
      </c>
      <c r="L40" s="73" t="str">
        <f t="shared" si="2"/>
        <v>Non appliqué</v>
      </c>
      <c r="M40" s="73" t="str">
        <f t="shared" si="3"/>
        <v>Non appliqué</v>
      </c>
      <c r="N40" s="73" t="str">
        <f t="shared" si="9"/>
        <v>Non appliqué</v>
      </c>
      <c r="O40" s="73" t="str">
        <f t="shared" si="4"/>
        <v>Non appliqué</v>
      </c>
      <c r="P40" s="73" t="str">
        <f t="shared" si="10"/>
        <v>Non appliqué</v>
      </c>
      <c r="Q40" s="73">
        <f t="shared" ca="1" si="5"/>
        <v>0</v>
      </c>
      <c r="R40" s="77"/>
      <c r="S40" s="75"/>
      <c r="T40" s="75"/>
      <c r="U40" s="75"/>
      <c r="V40" s="76"/>
      <c r="W40" s="76"/>
      <c r="X40" s="76"/>
      <c r="Y40" s="134">
        <f t="shared" si="8"/>
        <v>28</v>
      </c>
    </row>
    <row r="41" spans="1:25" x14ac:dyDescent="0.3">
      <c r="A41" s="64" t="s">
        <v>704</v>
      </c>
      <c r="B41" s="64" t="s">
        <v>709</v>
      </c>
      <c r="C41" s="71">
        <f>SUMIFS(Grille!R:R,Grille!A:A,Grille_HT3!A41,Grille!C:C,Grille_HT3!B41,Grille!I:I,"Majeur")</f>
        <v>0</v>
      </c>
      <c r="D41" s="71">
        <f>SUMIFS(Grille!Q:Q,Grille!A:A,Grille_HT3!A41,Grille!C:C,Grille_HT3!B41,Grille!I:I,"Majeur")</f>
        <v>0</v>
      </c>
      <c r="E41" s="71">
        <f>SUMIFS(Grille!N:N,Grille!A:A,Grille_HT3!A41,Grille!C:C,Grille_HT3!B41,Grille!I:I,"Majeur")</f>
        <v>0</v>
      </c>
      <c r="F41" s="72" t="str">
        <f t="shared" si="0"/>
        <v>Non appliqué</v>
      </c>
      <c r="G41" s="71">
        <f>SUMIFS(Grille!R:R,Grille!A:A,Grille_HT3!A41,Grille!C:C,Grille_HT3!B41,Grille!I:I,"Mineur")</f>
        <v>0</v>
      </c>
      <c r="H41" s="71">
        <f>SUMIFS(Grille!Q:Q,Grille!A:A,Grille_HT3!A41,Grille!C:C,Grille_HT3!B41,Grille!I:I,"Mineur")</f>
        <v>0</v>
      </c>
      <c r="I41" s="71">
        <f>SUMIFS(Grille!N:N,Grille!A:A,Grille_HT3!A41,Grille!C:C,Grille_HT3!B41,Grille!I:I,"Mineur")</f>
        <v>0</v>
      </c>
      <c r="J41" s="72" t="str">
        <f t="shared" si="1"/>
        <v>Non appliqué</v>
      </c>
      <c r="K41" s="71">
        <v>10</v>
      </c>
      <c r="L41" s="73" t="str">
        <f t="shared" si="2"/>
        <v>Non appliqué</v>
      </c>
      <c r="M41" s="73" t="str">
        <f t="shared" si="3"/>
        <v>Non appliqué</v>
      </c>
      <c r="N41" s="73" t="str">
        <f t="shared" si="9"/>
        <v>Non appliqué</v>
      </c>
      <c r="O41" s="73" t="str">
        <f t="shared" si="4"/>
        <v>Non appliqué</v>
      </c>
      <c r="P41" s="73" t="str">
        <f t="shared" si="10"/>
        <v>Non appliqué</v>
      </c>
      <c r="Q41" s="73">
        <f t="shared" ca="1" si="5"/>
        <v>0</v>
      </c>
      <c r="R41" s="77"/>
      <c r="S41" s="75"/>
      <c r="T41" s="75"/>
      <c r="U41" s="75"/>
      <c r="V41" s="76"/>
      <c r="W41" s="76"/>
      <c r="X41" s="76"/>
      <c r="Y41" s="134">
        <f t="shared" si="8"/>
        <v>29</v>
      </c>
    </row>
    <row r="42" spans="1:25" x14ac:dyDescent="0.3">
      <c r="A42" s="64" t="s">
        <v>704</v>
      </c>
      <c r="B42" s="64" t="s">
        <v>710</v>
      </c>
      <c r="C42" s="71">
        <f>SUMIFS(Grille!R:R,Grille!A:A,Grille_HT3!A42,Grille!C:C,Grille_HT3!B42,Grille!I:I,"Majeur")</f>
        <v>0</v>
      </c>
      <c r="D42" s="71">
        <f>SUMIFS(Grille!Q:Q,Grille!A:A,Grille_HT3!A42,Grille!C:C,Grille_HT3!B42,Grille!I:I,"Majeur")</f>
        <v>0</v>
      </c>
      <c r="E42" s="71">
        <f>SUMIFS(Grille!N:N,Grille!A:A,Grille_HT3!A42,Grille!C:C,Grille_HT3!B42,Grille!I:I,"Majeur")</f>
        <v>0</v>
      </c>
      <c r="F42" s="72" t="str">
        <f t="shared" si="0"/>
        <v>Non appliqué</v>
      </c>
      <c r="G42" s="71">
        <f>SUMIFS(Grille!R:R,Grille!A:A,Grille_HT3!A42,Grille!C:C,Grille_HT3!B42,Grille!I:I,"Mineur")</f>
        <v>0</v>
      </c>
      <c r="H42" s="71">
        <f>SUMIFS(Grille!Q:Q,Grille!A:A,Grille_HT3!A42,Grille!C:C,Grille_HT3!B42,Grille!I:I,"Mineur")</f>
        <v>0</v>
      </c>
      <c r="I42" s="71">
        <f>SUMIFS(Grille!N:N,Grille!A:A,Grille_HT3!A42,Grille!C:C,Grille_HT3!B42,Grille!I:I,"Mineur")</f>
        <v>0</v>
      </c>
      <c r="J42" s="72" t="str">
        <f t="shared" si="1"/>
        <v>Non appliqué</v>
      </c>
      <c r="K42" s="71">
        <v>15</v>
      </c>
      <c r="L42" s="73" t="str">
        <f t="shared" si="2"/>
        <v>Non appliqué</v>
      </c>
      <c r="M42" s="73" t="str">
        <f t="shared" si="3"/>
        <v>Non appliqué</v>
      </c>
      <c r="N42" s="73" t="str">
        <f t="shared" si="9"/>
        <v>Non appliqué</v>
      </c>
      <c r="O42" s="73" t="str">
        <f t="shared" si="4"/>
        <v>Non appliqué</v>
      </c>
      <c r="P42" s="73" t="str">
        <f t="shared" si="10"/>
        <v>Non appliqué</v>
      </c>
      <c r="Q42" s="73">
        <f t="shared" ca="1" si="5"/>
        <v>0</v>
      </c>
      <c r="R42" s="77"/>
      <c r="S42" s="75"/>
      <c r="T42" s="75"/>
      <c r="U42" s="75"/>
      <c r="V42" s="76"/>
      <c r="W42" s="76"/>
      <c r="X42" s="76"/>
      <c r="Y42" s="134">
        <f t="shared" si="8"/>
        <v>30</v>
      </c>
    </row>
    <row r="43" spans="1:25" x14ac:dyDescent="0.3">
      <c r="A43" s="64" t="s">
        <v>704</v>
      </c>
      <c r="B43" s="64" t="s">
        <v>712</v>
      </c>
      <c r="C43" s="71">
        <f>SUMIFS(Grille!R:R,Grille!A:A,Grille_HT3!A43,Grille!C:C,Grille_HT3!B43,Grille!I:I,"Majeur")</f>
        <v>0</v>
      </c>
      <c r="D43" s="71">
        <f>SUMIFS(Grille!Q:Q,Grille!A:A,Grille_HT3!A43,Grille!C:C,Grille_HT3!B43,Grille!I:I,"Majeur")</f>
        <v>0</v>
      </c>
      <c r="E43" s="71">
        <f>SUMIFS(Grille!N:N,Grille!A:A,Grille_HT3!A43,Grille!C:C,Grille_HT3!B43,Grille!I:I,"Majeur")</f>
        <v>0</v>
      </c>
      <c r="F43" s="72" t="str">
        <f t="shared" si="0"/>
        <v>Non appliqué</v>
      </c>
      <c r="G43" s="71">
        <f>SUMIFS(Grille!R:R,Grille!A:A,Grille_HT3!A43,Grille!C:C,Grille_HT3!B43,Grille!I:I,"Mineur")</f>
        <v>0</v>
      </c>
      <c r="H43" s="71">
        <f>SUMIFS(Grille!Q:Q,Grille!A:A,Grille_HT3!A43,Grille!C:C,Grille_HT3!B43,Grille!I:I,"Mineur")</f>
        <v>0</v>
      </c>
      <c r="I43" s="71">
        <f>SUMIFS(Grille!N:N,Grille!A:A,Grille_HT3!A43,Grille!C:C,Grille_HT3!B43,Grille!I:I,"Mineur")</f>
        <v>0</v>
      </c>
      <c r="J43" s="72" t="str">
        <f t="shared" si="1"/>
        <v>Non appliqué</v>
      </c>
      <c r="K43" s="71">
        <v>5</v>
      </c>
      <c r="L43" s="73" t="str">
        <f t="shared" si="2"/>
        <v>Non appliqué</v>
      </c>
      <c r="M43" s="73" t="str">
        <f t="shared" si="3"/>
        <v>Non appliqué</v>
      </c>
      <c r="N43" s="73" t="str">
        <f t="shared" si="9"/>
        <v>Non appliqué</v>
      </c>
      <c r="O43" s="73" t="str">
        <f t="shared" si="4"/>
        <v>Non appliqué</v>
      </c>
      <c r="P43" s="73" t="str">
        <f t="shared" si="10"/>
        <v>Non appliqué</v>
      </c>
      <c r="Q43" s="73">
        <f t="shared" ca="1" si="5"/>
        <v>0</v>
      </c>
      <c r="R43" s="77"/>
      <c r="S43" s="75"/>
      <c r="T43" s="75"/>
      <c r="U43" s="75"/>
      <c r="V43" s="76"/>
      <c r="W43" s="76"/>
      <c r="X43" s="76"/>
      <c r="Y43" s="134">
        <f t="shared" si="8"/>
        <v>31</v>
      </c>
    </row>
    <row r="44" spans="1:25" x14ac:dyDescent="0.3">
      <c r="A44" s="64" t="s">
        <v>704</v>
      </c>
      <c r="B44" s="64" t="s">
        <v>715</v>
      </c>
      <c r="C44" s="71">
        <f>SUMIFS(Grille!R:R,Grille!A:A,Grille_HT3!A44,Grille!C:C,Grille_HT3!B44,Grille!I:I,"Majeur")</f>
        <v>0</v>
      </c>
      <c r="D44" s="71">
        <f>SUMIFS(Grille!Q:Q,Grille!A:A,Grille_HT3!A44,Grille!C:C,Grille_HT3!B44,Grille!I:I,"Majeur")</f>
        <v>0</v>
      </c>
      <c r="E44" s="71">
        <f>SUMIFS(Grille!N:N,Grille!A:A,Grille_HT3!A44,Grille!C:C,Grille_HT3!B44,Grille!I:I,"Majeur")</f>
        <v>0</v>
      </c>
      <c r="F44" s="72" t="str">
        <f t="shared" si="0"/>
        <v>Non appliqué</v>
      </c>
      <c r="G44" s="71">
        <f>SUMIFS(Grille!R:R,Grille!A:A,Grille_HT3!A44,Grille!C:C,Grille_HT3!B44,Grille!I:I,"Mineur")</f>
        <v>0</v>
      </c>
      <c r="H44" s="71">
        <f>SUMIFS(Grille!Q:Q,Grille!A:A,Grille_HT3!A44,Grille!C:C,Grille_HT3!B44,Grille!I:I,"Mineur")</f>
        <v>0</v>
      </c>
      <c r="I44" s="71">
        <f>SUMIFS(Grille!N:N,Grille!A:A,Grille_HT3!A44,Grille!C:C,Grille_HT3!B44,Grille!I:I,"Mineur")</f>
        <v>0</v>
      </c>
      <c r="J44" s="72" t="str">
        <f t="shared" si="1"/>
        <v>Non appliqué</v>
      </c>
      <c r="K44" s="71">
        <v>10</v>
      </c>
      <c r="L44" s="73" t="str">
        <f t="shared" si="2"/>
        <v>Non appliqué</v>
      </c>
      <c r="M44" s="73" t="str">
        <f t="shared" si="3"/>
        <v>Non appliqué</v>
      </c>
      <c r="N44" s="73" t="str">
        <f t="shared" si="9"/>
        <v>Non appliqué</v>
      </c>
      <c r="O44" s="73" t="str">
        <f t="shared" si="4"/>
        <v>Non appliqué</v>
      </c>
      <c r="P44" s="73" t="str">
        <f t="shared" si="10"/>
        <v>Non appliqué</v>
      </c>
      <c r="Q44" s="73">
        <f t="shared" ca="1" si="5"/>
        <v>0</v>
      </c>
      <c r="R44" s="77"/>
      <c r="S44" s="75"/>
      <c r="T44" s="75"/>
      <c r="U44" s="75"/>
      <c r="V44" s="76"/>
      <c r="W44" s="76"/>
      <c r="X44" s="76"/>
      <c r="Y44" s="134">
        <f t="shared" si="8"/>
        <v>32</v>
      </c>
    </row>
    <row r="45" spans="1:25" x14ac:dyDescent="0.3">
      <c r="A45" s="64" t="s">
        <v>704</v>
      </c>
      <c r="B45" s="64" t="s">
        <v>717</v>
      </c>
      <c r="C45" s="71">
        <f>SUMIFS(Grille!R:R,Grille!A:A,Grille_HT3!A45,Grille!C:C,Grille_HT3!B45,Grille!I:I,"Majeur")</f>
        <v>0</v>
      </c>
      <c r="D45" s="71">
        <f>SUMIFS(Grille!Q:Q,Grille!A:A,Grille_HT3!A45,Grille!C:C,Grille_HT3!B45,Grille!I:I,"Majeur")</f>
        <v>0</v>
      </c>
      <c r="E45" s="71">
        <f>SUMIFS(Grille!N:N,Grille!A:A,Grille_HT3!A45,Grille!C:C,Grille_HT3!B45,Grille!I:I,"Majeur")</f>
        <v>0</v>
      </c>
      <c r="F45" s="72" t="str">
        <f t="shared" si="0"/>
        <v>Non appliqué</v>
      </c>
      <c r="G45" s="71">
        <f>SUMIFS(Grille!R:R,Grille!A:A,Grille_HT3!A45,Grille!C:C,Grille_HT3!B45,Grille!I:I,"Mineur")</f>
        <v>19</v>
      </c>
      <c r="H45" s="71">
        <f ca="1">SUMIFS(Grille!Q:Q,Grille!A:A,Grille_HT3!A45,Grille!C:C,Grille_HT3!B45,Grille!I:I,"Mineur")</f>
        <v>19</v>
      </c>
      <c r="I45" s="71">
        <f ca="1">SUMIFS(Grille!N:N,Grille!A:A,Grille_HT3!A45,Grille!C:C,Grille_HT3!B45,Grille!I:I,"Mineur")</f>
        <v>0</v>
      </c>
      <c r="J45" s="72">
        <f t="shared" ca="1" si="1"/>
        <v>0</v>
      </c>
      <c r="K45" s="71">
        <v>25</v>
      </c>
      <c r="L45" s="73" t="str">
        <f t="shared" si="2"/>
        <v>Non appliqué</v>
      </c>
      <c r="M45" s="73">
        <f t="shared" ca="1" si="3"/>
        <v>0.625</v>
      </c>
      <c r="N45" s="73" t="str">
        <f t="shared" si="9"/>
        <v>Non appliqué</v>
      </c>
      <c r="O45" s="73" t="str">
        <f t="shared" si="4"/>
        <v>Non appliqué</v>
      </c>
      <c r="P45" s="73">
        <f t="shared" ca="1" si="10"/>
        <v>0</v>
      </c>
      <c r="Q45" s="73">
        <f t="shared" ca="1" si="5"/>
        <v>0</v>
      </c>
      <c r="R45" s="77"/>
      <c r="S45" s="75"/>
      <c r="T45" s="75"/>
      <c r="U45" s="75"/>
      <c r="V45" s="76"/>
      <c r="W45" s="76"/>
      <c r="X45" s="76"/>
      <c r="Y45" s="134">
        <f t="shared" si="8"/>
        <v>33</v>
      </c>
    </row>
    <row r="46" spans="1:25" x14ac:dyDescent="0.3">
      <c r="A46" s="64" t="s">
        <v>704</v>
      </c>
      <c r="B46" s="64" t="s">
        <v>718</v>
      </c>
      <c r="C46" s="71">
        <f>SUMIFS(Grille!R:R,Grille!A:A,Grille_HT3!A46,Grille!C:C,Grille_HT3!B46,Grille!I:I,"Majeur")</f>
        <v>0</v>
      </c>
      <c r="D46" s="71">
        <f>SUMIFS(Grille!Q:Q,Grille!A:A,Grille_HT3!A46,Grille!C:C,Grille_HT3!B46,Grille!I:I,"Majeur")</f>
        <v>0</v>
      </c>
      <c r="E46" s="71">
        <f>SUMIFS(Grille!N:N,Grille!A:A,Grille_HT3!A46,Grille!C:C,Grille_HT3!B46,Grille!I:I,"Majeur")</f>
        <v>0</v>
      </c>
      <c r="F46" s="72" t="str">
        <f t="shared" si="0"/>
        <v>Non appliqué</v>
      </c>
      <c r="G46" s="71">
        <f>SUMIFS(Grille!R:R,Grille!A:A,Grille_HT3!A46,Grille!C:C,Grille_HT3!B46,Grille!I:I,"Mineur")</f>
        <v>18</v>
      </c>
      <c r="H46" s="71">
        <f ca="1">SUMIFS(Grille!Q:Q,Grille!A:A,Grille_HT3!A46,Grille!C:C,Grille_HT3!B46,Grille!I:I,"Mineur")</f>
        <v>18</v>
      </c>
      <c r="I46" s="71">
        <f ca="1">SUMIFS(Grille!N:N,Grille!A:A,Grille_HT3!A46,Grille!C:C,Grille_HT3!B46,Grille!I:I,"Mineur")</f>
        <v>0</v>
      </c>
      <c r="J46" s="72">
        <f t="shared" ca="1" si="1"/>
        <v>0</v>
      </c>
      <c r="K46" s="71">
        <v>15</v>
      </c>
      <c r="L46" s="73" t="str">
        <f t="shared" si="2"/>
        <v>Non appliqué</v>
      </c>
      <c r="M46" s="73">
        <f t="shared" ca="1" si="3"/>
        <v>0.375</v>
      </c>
      <c r="N46" s="73" t="str">
        <f t="shared" si="9"/>
        <v>Non appliqué</v>
      </c>
      <c r="O46" s="73" t="str">
        <f t="shared" si="4"/>
        <v>Non appliqué</v>
      </c>
      <c r="P46" s="73">
        <f t="shared" ca="1" si="10"/>
        <v>0</v>
      </c>
      <c r="Q46" s="73">
        <f t="shared" ca="1" si="5"/>
        <v>0</v>
      </c>
      <c r="R46" s="77"/>
      <c r="S46" s="75"/>
      <c r="T46" s="75"/>
      <c r="U46" s="75"/>
      <c r="V46" s="76"/>
      <c r="W46" s="76"/>
      <c r="X46" s="76"/>
      <c r="Y46" s="134">
        <f t="shared" si="8"/>
        <v>34</v>
      </c>
    </row>
    <row r="47" spans="1:25" ht="25.2" x14ac:dyDescent="0.3">
      <c r="A47" s="4"/>
      <c r="B47" s="4" t="str">
        <f>A48</f>
        <v>Piscine extérieure</v>
      </c>
      <c r="C47" s="5"/>
      <c r="D47" s="5"/>
      <c r="E47" s="5"/>
      <c r="F47" s="5"/>
      <c r="G47" s="9"/>
      <c r="H47" s="9"/>
      <c r="I47" s="9"/>
      <c r="J47" s="6"/>
      <c r="K47" s="5"/>
      <c r="L47" s="5"/>
      <c r="M47" s="5"/>
      <c r="N47" s="6"/>
      <c r="O47" s="6"/>
      <c r="P47" s="6"/>
      <c r="Q47" s="6"/>
      <c r="R47" s="70">
        <v>5</v>
      </c>
      <c r="S47" s="7" t="str">
        <f t="shared" si="6"/>
        <v>Non appliqué</v>
      </c>
      <c r="T47" s="7" t="str">
        <f ca="1">IFERROR(S47/SUM(S:S),S47)</f>
        <v>Non appliqué</v>
      </c>
      <c r="U47" s="7" t="str">
        <f ca="1">IFERROR(T47*O48,T47)</f>
        <v>Non appliqué</v>
      </c>
      <c r="V47" s="7">
        <f t="shared" ca="1" si="7"/>
        <v>0.05</v>
      </c>
      <c r="W47" s="7">
        <f ca="1">IFERROR(V47/SUM(V:V),V47)</f>
        <v>5.434782608695652E-2</v>
      </c>
      <c r="X47" s="7">
        <f ca="1">IFERROR(W47*Q48,W47)</f>
        <v>0</v>
      </c>
    </row>
    <row r="48" spans="1:25" x14ac:dyDescent="0.3">
      <c r="A48" s="64" t="s">
        <v>21</v>
      </c>
      <c r="B48" s="64" t="s">
        <v>682</v>
      </c>
      <c r="C48" s="71">
        <f>SUMIFS(Grille!R:R,Grille!A:A,Grille_HT3!A48,Grille!C:C,Grille_HT3!B48,Grille!I:I,"Majeur")</f>
        <v>0</v>
      </c>
      <c r="D48" s="71">
        <f>SUMIFS(Grille!Q:Q,Grille!A:A,Grille_HT3!A48,Grille!C:C,Grille_HT3!B48,Grille!I:I,"Majeur")</f>
        <v>0</v>
      </c>
      <c r="E48" s="71">
        <f>SUMIFS(Grille!N:N,Grille!A:A,Grille_HT3!A48,Grille!C:C,Grille_HT3!B48,Grille!I:I,"Majeur")</f>
        <v>0</v>
      </c>
      <c r="F48" s="72" t="str">
        <f t="shared" si="0"/>
        <v>Non appliqué</v>
      </c>
      <c r="G48" s="71">
        <f>SUMIFS(Grille!R:R,Grille!A:A,Grille_HT3!A48,Grille!C:C,Grille_HT3!B48,Grille!I:I,"Mineur")</f>
        <v>12</v>
      </c>
      <c r="H48" s="71">
        <f ca="1">SUMIFS(Grille!Q:Q,Grille!A:A,Grille_HT3!A48,Grille!C:C,Grille_HT3!B48,Grille!I:I,"Mineur")</f>
        <v>12</v>
      </c>
      <c r="I48" s="71">
        <f ca="1">SUMIFS(Grille!N:N,Grille!A:A,Grille_HT3!A48,Grille!C:C,Grille_HT3!B48,Grille!I:I,"Mineur")</f>
        <v>0</v>
      </c>
      <c r="J48" s="72">
        <f t="shared" ca="1" si="1"/>
        <v>0</v>
      </c>
      <c r="K48" s="71">
        <v>30</v>
      </c>
      <c r="L48" s="73" t="str">
        <f t="shared" si="2"/>
        <v>Non appliqué</v>
      </c>
      <c r="M48" s="73">
        <f t="shared" ca="1" si="3"/>
        <v>0.33333333333333331</v>
      </c>
      <c r="N48" s="73" t="str">
        <f>IF(ISNUMBER(F48),F48*L48,F48)</f>
        <v>Non appliqué</v>
      </c>
      <c r="O48" s="73" t="str">
        <f t="shared" si="4"/>
        <v>Non appliqué</v>
      </c>
      <c r="P48" s="73">
        <f ca="1">IF(ISNUMBER(J48),J48*M48,J48)</f>
        <v>0</v>
      </c>
      <c r="Q48" s="73">
        <f t="shared" ca="1" si="5"/>
        <v>0</v>
      </c>
      <c r="R48" s="77"/>
      <c r="S48" s="75"/>
      <c r="T48" s="75"/>
      <c r="U48" s="75"/>
      <c r="V48" s="76"/>
      <c r="W48" s="76"/>
      <c r="X48" s="76"/>
      <c r="Y48" s="134">
        <f>Y46+1</f>
        <v>35</v>
      </c>
    </row>
    <row r="49" spans="1:25" x14ac:dyDescent="0.3">
      <c r="A49" s="64" t="s">
        <v>21</v>
      </c>
      <c r="B49" s="64" t="s">
        <v>720</v>
      </c>
      <c r="C49" s="71">
        <f>SUMIFS(Grille!R:R,Grille!A:A,Grille_HT3!A49,Grille!C:C,Grille_HT3!B49,Grille!I:I,"Majeur")</f>
        <v>0</v>
      </c>
      <c r="D49" s="71">
        <f>SUMIFS(Grille!Q:Q,Grille!A:A,Grille_HT3!A49,Grille!C:C,Grille_HT3!B49,Grille!I:I,"Majeur")</f>
        <v>0</v>
      </c>
      <c r="E49" s="71">
        <f>SUMIFS(Grille!N:N,Grille!A:A,Grille_HT3!A49,Grille!C:C,Grille_HT3!B49,Grille!I:I,"Majeur")</f>
        <v>0</v>
      </c>
      <c r="F49" s="72" t="str">
        <f t="shared" si="0"/>
        <v>Non appliqué</v>
      </c>
      <c r="G49" s="71">
        <f>SUMIFS(Grille!R:R,Grille!A:A,Grille_HT3!A49,Grille!C:C,Grille_HT3!B49,Grille!I:I,"Mineur")</f>
        <v>6</v>
      </c>
      <c r="H49" s="71">
        <f ca="1">SUMIFS(Grille!Q:Q,Grille!A:A,Grille_HT3!A49,Grille!C:C,Grille_HT3!B49,Grille!I:I,"Mineur")</f>
        <v>6</v>
      </c>
      <c r="I49" s="71">
        <f ca="1">SUMIFS(Grille!N:N,Grille!A:A,Grille_HT3!A49,Grille!C:C,Grille_HT3!B49,Grille!I:I,"Mineur")</f>
        <v>0</v>
      </c>
      <c r="J49" s="72">
        <f t="shared" ca="1" si="1"/>
        <v>0</v>
      </c>
      <c r="K49" s="71">
        <v>25</v>
      </c>
      <c r="L49" s="73" t="str">
        <f t="shared" si="2"/>
        <v>Non appliqué</v>
      </c>
      <c r="M49" s="73">
        <f t="shared" ca="1" si="3"/>
        <v>0.27777777777777779</v>
      </c>
      <c r="N49" s="73" t="str">
        <f>IF(ISNUMBER(F49),F49*L49,F49)</f>
        <v>Non appliqué</v>
      </c>
      <c r="O49" s="73" t="str">
        <f t="shared" si="4"/>
        <v>Non appliqué</v>
      </c>
      <c r="P49" s="73">
        <f ca="1">IF(ISNUMBER(J49),J49*M49,J49)</f>
        <v>0</v>
      </c>
      <c r="Q49" s="73">
        <f t="shared" ca="1" si="5"/>
        <v>0</v>
      </c>
      <c r="R49" s="77"/>
      <c r="S49" s="75"/>
      <c r="T49" s="75"/>
      <c r="U49" s="75"/>
      <c r="V49" s="76"/>
      <c r="W49" s="76"/>
      <c r="X49" s="76"/>
      <c r="Y49" s="134">
        <f t="shared" si="8"/>
        <v>36</v>
      </c>
    </row>
    <row r="50" spans="1:25" x14ac:dyDescent="0.3">
      <c r="A50" s="64" t="s">
        <v>21</v>
      </c>
      <c r="B50" s="64" t="s">
        <v>722</v>
      </c>
      <c r="C50" s="71">
        <f>SUMIFS(Grille!R:R,Grille!A:A,Grille_HT3!A50,Grille!C:C,Grille_HT3!B50,Grille!I:I,"Majeur")</f>
        <v>0</v>
      </c>
      <c r="D50" s="71">
        <f>SUMIFS(Grille!Q:Q,Grille!A:A,Grille_HT3!A50,Grille!C:C,Grille_HT3!B50,Grille!I:I,"Majeur")</f>
        <v>0</v>
      </c>
      <c r="E50" s="71">
        <f>SUMIFS(Grille!N:N,Grille!A:A,Grille_HT3!A50,Grille!C:C,Grille_HT3!B50,Grille!I:I,"Majeur")</f>
        <v>0</v>
      </c>
      <c r="F50" s="72" t="str">
        <f t="shared" si="0"/>
        <v>Non appliqué</v>
      </c>
      <c r="G50" s="71">
        <f>SUMIFS(Grille!R:R,Grille!A:A,Grille_HT3!A50,Grille!C:C,Grille_HT3!B50,Grille!I:I,"Mineur")</f>
        <v>21</v>
      </c>
      <c r="H50" s="71">
        <f ca="1">SUMIFS(Grille!Q:Q,Grille!A:A,Grille_HT3!A50,Grille!C:C,Grille_HT3!B50,Grille!I:I,"Mineur")</f>
        <v>21</v>
      </c>
      <c r="I50" s="71">
        <f ca="1">SUMIFS(Grille!N:N,Grille!A:A,Grille_HT3!A50,Grille!C:C,Grille_HT3!B50,Grille!I:I,"Mineur")</f>
        <v>0</v>
      </c>
      <c r="J50" s="72">
        <f t="shared" ca="1" si="1"/>
        <v>0</v>
      </c>
      <c r="K50" s="71">
        <v>25</v>
      </c>
      <c r="L50" s="73" t="str">
        <f t="shared" si="2"/>
        <v>Non appliqué</v>
      </c>
      <c r="M50" s="73">
        <f t="shared" ca="1" si="3"/>
        <v>0.27777777777777779</v>
      </c>
      <c r="N50" s="73" t="str">
        <f>IF(ISNUMBER(F50),F50*L50,F50)</f>
        <v>Non appliqué</v>
      </c>
      <c r="O50" s="73" t="str">
        <f t="shared" si="4"/>
        <v>Non appliqué</v>
      </c>
      <c r="P50" s="73">
        <f ca="1">IF(ISNUMBER(J50),J50*M50,J50)</f>
        <v>0</v>
      </c>
      <c r="Q50" s="73">
        <f t="shared" ca="1" si="5"/>
        <v>0</v>
      </c>
      <c r="R50" s="77"/>
      <c r="S50" s="75"/>
      <c r="T50" s="75"/>
      <c r="U50" s="75"/>
      <c r="V50" s="76"/>
      <c r="W50" s="76"/>
      <c r="X50" s="76"/>
      <c r="Y50" s="134">
        <f t="shared" si="8"/>
        <v>37</v>
      </c>
    </row>
    <row r="51" spans="1:25" x14ac:dyDescent="0.3">
      <c r="A51" s="64" t="s">
        <v>21</v>
      </c>
      <c r="B51" s="64" t="s">
        <v>724</v>
      </c>
      <c r="C51" s="71">
        <f>SUMIFS(Grille!R:R,Grille!A:A,Grille_HT3!A51,Grille!C:C,Grille_HT3!B51,Grille!I:I,"Majeur")</f>
        <v>0</v>
      </c>
      <c r="D51" s="71">
        <f>SUMIFS(Grille!Q:Q,Grille!A:A,Grille_HT3!A51,Grille!C:C,Grille_HT3!B51,Grille!I:I,"Majeur")</f>
        <v>0</v>
      </c>
      <c r="E51" s="71">
        <f>SUMIFS(Grille!N:N,Grille!A:A,Grille_HT3!A51,Grille!C:C,Grille_HT3!B51,Grille!I:I,"Majeur")</f>
        <v>0</v>
      </c>
      <c r="F51" s="72" t="str">
        <f t="shared" si="0"/>
        <v>Non appliqué</v>
      </c>
      <c r="G51" s="71">
        <f>SUMIFS(Grille!R:R,Grille!A:A,Grille_HT3!A51,Grille!C:C,Grille_HT3!B51,Grille!I:I,"Mineur")</f>
        <v>0</v>
      </c>
      <c r="H51" s="71">
        <f>SUMIFS(Grille!Q:Q,Grille!A:A,Grille_HT3!A51,Grille!C:C,Grille_HT3!B51,Grille!I:I,"Mineur")</f>
        <v>0</v>
      </c>
      <c r="I51" s="71">
        <f>SUMIFS(Grille!N:N,Grille!A:A,Grille_HT3!A51,Grille!C:C,Grille_HT3!B51,Grille!I:I,"Mineur")</f>
        <v>0</v>
      </c>
      <c r="J51" s="72" t="str">
        <f t="shared" si="1"/>
        <v>Non appliqué</v>
      </c>
      <c r="K51" s="71">
        <v>10</v>
      </c>
      <c r="L51" s="73" t="str">
        <f t="shared" si="2"/>
        <v>Non appliqué</v>
      </c>
      <c r="M51" s="73" t="str">
        <f t="shared" si="3"/>
        <v>Non appliqué</v>
      </c>
      <c r="N51" s="73" t="str">
        <f>IF(ISNUMBER(F51),F51*L51,F51)</f>
        <v>Non appliqué</v>
      </c>
      <c r="O51" s="73" t="str">
        <f t="shared" si="4"/>
        <v>Non appliqué</v>
      </c>
      <c r="P51" s="73" t="str">
        <f>IF(ISNUMBER(J51),J51*M51,J51)</f>
        <v>Non appliqué</v>
      </c>
      <c r="Q51" s="73">
        <f t="shared" ca="1" si="5"/>
        <v>0</v>
      </c>
      <c r="R51" s="77"/>
      <c r="S51" s="75"/>
      <c r="T51" s="75"/>
      <c r="U51" s="75"/>
      <c r="V51" s="76"/>
      <c r="W51" s="76"/>
      <c r="X51" s="76"/>
      <c r="Y51" s="134">
        <f t="shared" si="8"/>
        <v>38</v>
      </c>
    </row>
    <row r="52" spans="1:25" x14ac:dyDescent="0.3">
      <c r="A52" s="64" t="s">
        <v>21</v>
      </c>
      <c r="B52" s="64" t="s">
        <v>725</v>
      </c>
      <c r="C52" s="71">
        <f>SUMIFS(Grille!R:R,Grille!A:A,Grille_HT3!A52,Grille!C:C,Grille_HT3!B52,Grille!I:I,"Majeur")</f>
        <v>0</v>
      </c>
      <c r="D52" s="71">
        <f>SUMIFS(Grille!Q:Q,Grille!A:A,Grille_HT3!A52,Grille!C:C,Grille_HT3!B52,Grille!I:I,"Majeur")</f>
        <v>0</v>
      </c>
      <c r="E52" s="71">
        <f>SUMIFS(Grille!N:N,Grille!A:A,Grille_HT3!A52,Grille!C:C,Grille_HT3!B52,Grille!I:I,"Majeur")</f>
        <v>0</v>
      </c>
      <c r="F52" s="72" t="str">
        <f t="shared" si="0"/>
        <v>Non appliqué</v>
      </c>
      <c r="G52" s="71">
        <f>SUMIFS(Grille!R:R,Grille!A:A,Grille_HT3!A52,Grille!C:C,Grille_HT3!B52,Grille!I:I,"Mineur")</f>
        <v>16</v>
      </c>
      <c r="H52" s="71">
        <f ca="1">SUMIFS(Grille!Q:Q,Grille!A:A,Grille_HT3!A52,Grille!C:C,Grille_HT3!B52,Grille!I:I,"Mineur")</f>
        <v>16</v>
      </c>
      <c r="I52" s="71">
        <f ca="1">SUMIFS(Grille!N:N,Grille!A:A,Grille_HT3!A52,Grille!C:C,Grille_HT3!B52,Grille!I:I,"Mineur")</f>
        <v>0</v>
      </c>
      <c r="J52" s="72">
        <f t="shared" ca="1" si="1"/>
        <v>0</v>
      </c>
      <c r="K52" s="71">
        <v>10</v>
      </c>
      <c r="L52" s="73" t="str">
        <f t="shared" si="2"/>
        <v>Non appliqué</v>
      </c>
      <c r="M52" s="73">
        <f t="shared" ca="1" si="3"/>
        <v>0.1111111111111111</v>
      </c>
      <c r="N52" s="73" t="str">
        <f>IF(ISNUMBER(F52),F52*L52,F52)</f>
        <v>Non appliqué</v>
      </c>
      <c r="O52" s="73" t="str">
        <f t="shared" si="4"/>
        <v>Non appliqué</v>
      </c>
      <c r="P52" s="73">
        <f ca="1">IF(ISNUMBER(J52),J52*M52,J52)</f>
        <v>0</v>
      </c>
      <c r="Q52" s="73">
        <f t="shared" ca="1" si="5"/>
        <v>0</v>
      </c>
      <c r="R52" s="77"/>
      <c r="S52" s="75"/>
      <c r="T52" s="75"/>
      <c r="U52" s="75"/>
      <c r="V52" s="76"/>
      <c r="W52" s="76"/>
      <c r="X52" s="76"/>
      <c r="Y52" s="134">
        <f t="shared" si="8"/>
        <v>39</v>
      </c>
    </row>
    <row r="53" spans="1:25" ht="25.2" x14ac:dyDescent="0.3">
      <c r="A53" s="4"/>
      <c r="B53" s="4" t="s">
        <v>729</v>
      </c>
      <c r="C53" s="5"/>
      <c r="D53" s="5"/>
      <c r="E53" s="5"/>
      <c r="F53" s="5"/>
      <c r="G53" s="9"/>
      <c r="H53" s="9"/>
      <c r="I53" s="9"/>
      <c r="J53" s="6"/>
      <c r="K53" s="5"/>
      <c r="L53" s="5"/>
      <c r="M53" s="5"/>
      <c r="N53" s="6"/>
      <c r="O53" s="6"/>
      <c r="P53" s="6"/>
      <c r="Q53" s="6"/>
      <c r="R53" s="70">
        <v>2</v>
      </c>
      <c r="S53" s="7" t="str">
        <f t="shared" si="6"/>
        <v>Non appliqué</v>
      </c>
      <c r="T53" s="7" t="str">
        <f ca="1">IFERROR(S53/SUM(S:S),S53)</f>
        <v>Non appliqué</v>
      </c>
      <c r="U53" s="7" t="str">
        <f ca="1">IFERROR(T53*#REF!,T53)</f>
        <v>Non appliqué</v>
      </c>
      <c r="V53" s="7" t="str">
        <f t="shared" si="7"/>
        <v>Non appliqué</v>
      </c>
      <c r="W53" s="7" t="str">
        <f ca="1">IFERROR(V53/SUM(V:V),V53)</f>
        <v>Non appliqué</v>
      </c>
      <c r="X53" s="7" t="str">
        <f ca="1">IFERROR(W53*#REF!,W53)</f>
        <v>Non appliqué</v>
      </c>
    </row>
    <row r="54" spans="1:25" x14ac:dyDescent="0.3">
      <c r="A54" s="64" t="s">
        <v>729</v>
      </c>
      <c r="B54" s="64" t="s">
        <v>729</v>
      </c>
      <c r="C54" s="71">
        <f>SUMIFS(Grille!R:R,Grille!A:A,Grille_HT3!A54,Grille!C:C,Grille_HT3!B54,Grille!I:I,"Majeur")</f>
        <v>0</v>
      </c>
      <c r="D54" s="71">
        <f>SUMIFS(Grille!Q:Q,Grille!A:A,Grille_HT3!A54,Grille!C:C,Grille_HT3!B54,Grille!I:I,"Majeur")</f>
        <v>0</v>
      </c>
      <c r="E54" s="71">
        <f>SUMIFS(Grille!N:N,Grille!A:A,Grille_HT3!A54,Grille!C:C,Grille_HT3!B54,Grille!I:I,"Majeur")</f>
        <v>0</v>
      </c>
      <c r="F54" s="72" t="str">
        <f t="shared" si="0"/>
        <v>Non appliqué</v>
      </c>
      <c r="G54" s="71">
        <f>SUMIFS(Grille!R:R,Grille!A:A,Grille_HT3!A54,Grille!C:C,Grille_HT3!B54,Grille!I:I,"Mineur")</f>
        <v>0</v>
      </c>
      <c r="H54" s="71">
        <f>SUMIFS(Grille!Q:Q,Grille!A:A,Grille_HT3!A54,Grille!C:C,Grille_HT3!B54,Grille!I:I,"Mineur")</f>
        <v>0</v>
      </c>
      <c r="I54" s="71">
        <f>SUMIFS(Grille!N:N,Grille!A:A,Grille_HT3!A54,Grille!C:C,Grille_HT3!B54,Grille!I:I,"Mineur")</f>
        <v>0</v>
      </c>
      <c r="J54" s="72" t="str">
        <f t="shared" si="1"/>
        <v>Non appliqué</v>
      </c>
      <c r="K54" s="71">
        <v>100</v>
      </c>
      <c r="L54" s="73" t="str">
        <f t="shared" si="2"/>
        <v>Non appliqué</v>
      </c>
      <c r="M54" s="73" t="str">
        <f t="shared" si="3"/>
        <v>Non appliqué</v>
      </c>
      <c r="N54" s="73" t="str">
        <f>IF(ISNUMBER(F54),F54*L54,F54)</f>
        <v>Non appliqué</v>
      </c>
      <c r="O54" s="73" t="str">
        <f t="shared" si="4"/>
        <v>Non appliqué</v>
      </c>
      <c r="P54" s="73" t="str">
        <f>IF(ISNUMBER(J54),J54*M54,J54)</f>
        <v>Non appliqué</v>
      </c>
      <c r="Q54" s="73" t="str">
        <f t="shared" si="5"/>
        <v>Non appliqué</v>
      </c>
      <c r="R54" s="77"/>
      <c r="S54" s="75"/>
      <c r="T54" s="75"/>
      <c r="U54" s="75"/>
      <c r="V54" s="76"/>
      <c r="W54" s="76"/>
      <c r="X54" s="76"/>
      <c r="Y54" s="134">
        <f>Y52+1</f>
        <v>40</v>
      </c>
    </row>
    <row r="55" spans="1:25" ht="25.2" x14ac:dyDescent="0.3">
      <c r="A55" s="4"/>
      <c r="B55" s="4" t="str">
        <f>A56</f>
        <v>Autres animations</v>
      </c>
      <c r="C55" s="5"/>
      <c r="D55" s="5"/>
      <c r="E55" s="5"/>
      <c r="F55" s="5"/>
      <c r="G55" s="9"/>
      <c r="H55" s="9"/>
      <c r="I55" s="9"/>
      <c r="J55" s="6"/>
      <c r="K55" s="5"/>
      <c r="L55" s="5"/>
      <c r="M55" s="5"/>
      <c r="N55" s="6"/>
      <c r="O55" s="6"/>
      <c r="P55" s="6"/>
      <c r="Q55" s="6"/>
      <c r="R55" s="70">
        <v>1</v>
      </c>
      <c r="S55" s="7" t="str">
        <f t="shared" si="6"/>
        <v>Non appliqué</v>
      </c>
      <c r="T55" s="7" t="str">
        <f ca="1">IFERROR(S55/SUM(S:S),S55)</f>
        <v>Non appliqué</v>
      </c>
      <c r="U55" s="7" t="str">
        <f ca="1">IFERROR(T55*O56,T55)</f>
        <v>Non appliqué</v>
      </c>
      <c r="V55" s="7" t="str">
        <f t="shared" si="7"/>
        <v>Non appliqué</v>
      </c>
      <c r="W55" s="7" t="str">
        <f ca="1">IFERROR(V55/SUM(V:V),V55)</f>
        <v>Non appliqué</v>
      </c>
      <c r="X55" s="7" t="str">
        <f ca="1">IFERROR(W55*Q56,W55)</f>
        <v>Non appliqué</v>
      </c>
    </row>
    <row r="56" spans="1:25" x14ac:dyDescent="0.3">
      <c r="A56" s="64" t="s">
        <v>731</v>
      </c>
      <c r="B56" s="64" t="s">
        <v>733</v>
      </c>
      <c r="C56" s="71">
        <f>SUMIFS(Grille!R:R,Grille!A:A,Grille_HT3!A56,Grille!C:C,Grille_HT3!B56,Grille!I:I,"Majeur")</f>
        <v>0</v>
      </c>
      <c r="D56" s="71">
        <f>SUMIFS(Grille!Q:Q,Grille!A:A,Grille_HT3!A56,Grille!C:C,Grille_HT3!B56,Grille!I:I,"Majeur")</f>
        <v>0</v>
      </c>
      <c r="E56" s="71">
        <f>SUMIFS(Grille!N:N,Grille!A:A,Grille_HT3!A56,Grille!C:C,Grille_HT3!B56,Grille!I:I,"Majeur")</f>
        <v>0</v>
      </c>
      <c r="F56" s="72" t="str">
        <f t="shared" si="0"/>
        <v>Non appliqué</v>
      </c>
      <c r="G56" s="71">
        <f>SUMIFS(Grille!R:R,Grille!A:A,Grille_HT3!A56,Grille!C:C,Grille_HT3!B56,Grille!I:I,"Mineur")</f>
        <v>0</v>
      </c>
      <c r="H56" s="71">
        <f>SUMIFS(Grille!Q:Q,Grille!A:A,Grille_HT3!A56,Grille!C:C,Grille_HT3!B56,Grille!I:I,"Mineur")</f>
        <v>0</v>
      </c>
      <c r="I56" s="71">
        <f>SUMIFS(Grille!N:N,Grille!A:A,Grille_HT3!A56,Grille!C:C,Grille_HT3!B56,Grille!I:I,"Mineur")</f>
        <v>0</v>
      </c>
      <c r="J56" s="72" t="str">
        <f t="shared" si="1"/>
        <v>Non appliqué</v>
      </c>
      <c r="K56" s="71">
        <v>40</v>
      </c>
      <c r="L56" s="73" t="str">
        <f t="shared" si="2"/>
        <v>Non appliqué</v>
      </c>
      <c r="M56" s="73" t="str">
        <f t="shared" si="3"/>
        <v>Non appliqué</v>
      </c>
      <c r="N56" s="73" t="str">
        <f>IF(ISNUMBER(F56),F56*L56,F56)</f>
        <v>Non appliqué</v>
      </c>
      <c r="O56" s="73" t="str">
        <f t="shared" si="4"/>
        <v>Non appliqué</v>
      </c>
      <c r="P56" s="73" t="str">
        <f>IF(ISNUMBER(J56),J56*M56,J56)</f>
        <v>Non appliqué</v>
      </c>
      <c r="Q56" s="73" t="str">
        <f t="shared" si="5"/>
        <v>Non appliqué</v>
      </c>
      <c r="R56" s="77"/>
      <c r="S56" s="75"/>
      <c r="T56" s="75"/>
      <c r="U56" s="75"/>
      <c r="V56" s="76"/>
      <c r="W56" s="76"/>
      <c r="X56" s="76"/>
      <c r="Y56" s="134">
        <f>Y54+1</f>
        <v>41</v>
      </c>
    </row>
    <row r="57" spans="1:25" ht="25.2" x14ac:dyDescent="0.3">
      <c r="A57" s="64" t="s">
        <v>731</v>
      </c>
      <c r="B57" s="64" t="s">
        <v>734</v>
      </c>
      <c r="C57" s="71">
        <f>SUMIFS(Grille!R:R,Grille!A:A,Grille_HT3!A57,Grille!C:C,Grille_HT3!B57,Grille!I:I,"Majeur")</f>
        <v>0</v>
      </c>
      <c r="D57" s="71">
        <f>SUMIFS(Grille!Q:Q,Grille!A:A,Grille_HT3!A57,Grille!C:C,Grille_HT3!B57,Grille!I:I,"Majeur")</f>
        <v>0</v>
      </c>
      <c r="E57" s="71">
        <f>SUMIFS(Grille!N:N,Grille!A:A,Grille_HT3!A57,Grille!C:C,Grille_HT3!B57,Grille!I:I,"Majeur")</f>
        <v>0</v>
      </c>
      <c r="F57" s="72" t="str">
        <f t="shared" si="0"/>
        <v>Non appliqué</v>
      </c>
      <c r="G57" s="71">
        <f>SUMIFS(Grille!R:R,Grille!A:A,Grille_HT3!A57,Grille!C:C,Grille_HT3!B57,Grille!I:I,"Mineur")</f>
        <v>0</v>
      </c>
      <c r="H57" s="71">
        <f>SUMIFS(Grille!Q:Q,Grille!A:A,Grille_HT3!A57,Grille!C:C,Grille_HT3!B57,Grille!I:I,"Mineur")</f>
        <v>0</v>
      </c>
      <c r="I57" s="71">
        <f>SUMIFS(Grille!N:N,Grille!A:A,Grille_HT3!A57,Grille!C:C,Grille_HT3!B57,Grille!I:I,"Mineur")</f>
        <v>0</v>
      </c>
      <c r="J57" s="72" t="str">
        <f t="shared" si="1"/>
        <v>Non appliqué</v>
      </c>
      <c r="K57" s="71">
        <v>10</v>
      </c>
      <c r="L57" s="73" t="str">
        <f t="shared" si="2"/>
        <v>Non appliqué</v>
      </c>
      <c r="M57" s="73" t="str">
        <f t="shared" si="3"/>
        <v>Non appliqué</v>
      </c>
      <c r="N57" s="73" t="str">
        <f>IF(ISNUMBER(F57),F57*L57,F57)</f>
        <v>Non appliqué</v>
      </c>
      <c r="O57" s="73" t="str">
        <f t="shared" si="4"/>
        <v>Non appliqué</v>
      </c>
      <c r="P57" s="73" t="str">
        <f>IF(ISNUMBER(J57),J57*M57,J57)</f>
        <v>Non appliqué</v>
      </c>
      <c r="Q57" s="73" t="str">
        <f t="shared" si="5"/>
        <v>Non appliqué</v>
      </c>
      <c r="R57" s="77"/>
      <c r="S57" s="75"/>
      <c r="T57" s="75"/>
      <c r="U57" s="75"/>
      <c r="V57" s="76"/>
      <c r="W57" s="76"/>
      <c r="X57" s="76"/>
      <c r="Y57" s="134">
        <f t="shared" si="8"/>
        <v>42</v>
      </c>
    </row>
    <row r="58" spans="1:25" ht="25.2" x14ac:dyDescent="0.3">
      <c r="A58" s="64" t="s">
        <v>731</v>
      </c>
      <c r="B58" s="64" t="s">
        <v>735</v>
      </c>
      <c r="C58" s="71">
        <f>SUMIFS(Grille!R:R,Grille!A:A,Grille_HT3!A58,Grille!C:C,Grille_HT3!B58,Grille!I:I,"Majeur")</f>
        <v>0</v>
      </c>
      <c r="D58" s="71">
        <f>SUMIFS(Grille!Q:Q,Grille!A:A,Grille_HT3!A58,Grille!C:C,Grille_HT3!B58,Grille!I:I,"Majeur")</f>
        <v>0</v>
      </c>
      <c r="E58" s="71">
        <f>SUMIFS(Grille!N:N,Grille!A:A,Grille_HT3!A58,Grille!C:C,Grille_HT3!B58,Grille!I:I,"Majeur")</f>
        <v>0</v>
      </c>
      <c r="F58" s="72" t="str">
        <f t="shared" si="0"/>
        <v>Non appliqué</v>
      </c>
      <c r="G58" s="71">
        <f>SUMIFS(Grille!R:R,Grille!A:A,Grille_HT3!A58,Grille!C:C,Grille_HT3!B58,Grille!I:I,"Mineur")</f>
        <v>0</v>
      </c>
      <c r="H58" s="71">
        <f>SUMIFS(Grille!Q:Q,Grille!A:A,Grille_HT3!A58,Grille!C:C,Grille_HT3!B58,Grille!I:I,"Mineur")</f>
        <v>0</v>
      </c>
      <c r="I58" s="71">
        <f>SUMIFS(Grille!N:N,Grille!A:A,Grille_HT3!A58,Grille!C:C,Grille_HT3!B58,Grille!I:I,"Mineur")</f>
        <v>0</v>
      </c>
      <c r="J58" s="72" t="str">
        <f t="shared" si="1"/>
        <v>Non appliqué</v>
      </c>
      <c r="K58" s="71">
        <v>10</v>
      </c>
      <c r="L58" s="73" t="str">
        <f t="shared" si="2"/>
        <v>Non appliqué</v>
      </c>
      <c r="M58" s="73" t="str">
        <f t="shared" si="3"/>
        <v>Non appliqué</v>
      </c>
      <c r="N58" s="73" t="str">
        <f>IF(ISNUMBER(F58),F58*L58,F58)</f>
        <v>Non appliqué</v>
      </c>
      <c r="O58" s="73" t="str">
        <f t="shared" si="4"/>
        <v>Non appliqué</v>
      </c>
      <c r="P58" s="73" t="str">
        <f>IF(ISNUMBER(J58),J58*M58,J58)</f>
        <v>Non appliqué</v>
      </c>
      <c r="Q58" s="73" t="str">
        <f t="shared" si="5"/>
        <v>Non appliqué</v>
      </c>
      <c r="R58" s="77"/>
      <c r="S58" s="75"/>
      <c r="T58" s="75"/>
      <c r="U58" s="75"/>
      <c r="V58" s="76"/>
      <c r="W58" s="76"/>
      <c r="X58" s="76"/>
      <c r="Y58" s="134">
        <f t="shared" si="8"/>
        <v>43</v>
      </c>
    </row>
    <row r="59" spans="1:25" ht="25.2" x14ac:dyDescent="0.3">
      <c r="A59" s="64" t="s">
        <v>731</v>
      </c>
      <c r="B59" s="64" t="s">
        <v>736</v>
      </c>
      <c r="C59" s="71">
        <f>SUMIFS(Grille!R:R,Grille!A:A,Grille_HT3!A59,Grille!C:C,Grille_HT3!B59,Grille!I:I,"Majeur")</f>
        <v>0</v>
      </c>
      <c r="D59" s="71">
        <f>SUMIFS(Grille!Q:Q,Grille!A:A,Grille_HT3!A59,Grille!C:C,Grille_HT3!B59,Grille!I:I,"Majeur")</f>
        <v>0</v>
      </c>
      <c r="E59" s="71">
        <f>SUMIFS(Grille!N:N,Grille!A:A,Grille_HT3!A59,Grille!C:C,Grille_HT3!B59,Grille!I:I,"Majeur")</f>
        <v>0</v>
      </c>
      <c r="F59" s="72" t="str">
        <f t="shared" si="0"/>
        <v>Non appliqué</v>
      </c>
      <c r="G59" s="71">
        <f>SUMIFS(Grille!R:R,Grille!A:A,Grille_HT3!A59,Grille!C:C,Grille_HT3!B59,Grille!I:I,"Mineur")</f>
        <v>0</v>
      </c>
      <c r="H59" s="71">
        <f>SUMIFS(Grille!Q:Q,Grille!A:A,Grille_HT3!A59,Grille!C:C,Grille_HT3!B59,Grille!I:I,"Mineur")</f>
        <v>0</v>
      </c>
      <c r="I59" s="71">
        <f>SUMIFS(Grille!N:N,Grille!A:A,Grille_HT3!A59,Grille!C:C,Grille_HT3!B59,Grille!I:I,"Mineur")</f>
        <v>0</v>
      </c>
      <c r="J59" s="72" t="str">
        <f t="shared" si="1"/>
        <v>Non appliqué</v>
      </c>
      <c r="K59" s="71">
        <v>20</v>
      </c>
      <c r="L59" s="73" t="str">
        <f t="shared" si="2"/>
        <v>Non appliqué</v>
      </c>
      <c r="M59" s="73" t="str">
        <f t="shared" si="3"/>
        <v>Non appliqué</v>
      </c>
      <c r="N59" s="73" t="str">
        <f>IF(ISNUMBER(F59),F59*L59,F59)</f>
        <v>Non appliqué</v>
      </c>
      <c r="O59" s="73" t="str">
        <f t="shared" si="4"/>
        <v>Non appliqué</v>
      </c>
      <c r="P59" s="73" t="str">
        <f>IF(ISNUMBER(J59),J59*M59,J59)</f>
        <v>Non appliqué</v>
      </c>
      <c r="Q59" s="73" t="str">
        <f t="shared" si="5"/>
        <v>Non appliqué</v>
      </c>
      <c r="R59" s="77"/>
      <c r="S59" s="75"/>
      <c r="T59" s="75"/>
      <c r="U59" s="75"/>
      <c r="V59" s="76"/>
      <c r="W59" s="76"/>
      <c r="X59" s="76"/>
      <c r="Y59" s="134">
        <f t="shared" si="8"/>
        <v>44</v>
      </c>
    </row>
    <row r="60" spans="1:25" ht="25.2" x14ac:dyDescent="0.3">
      <c r="A60" s="64" t="s">
        <v>731</v>
      </c>
      <c r="B60" s="64" t="s">
        <v>737</v>
      </c>
      <c r="C60" s="71">
        <f>SUMIFS(Grille!R:R,Grille!A:A,Grille_HT3!A60,Grille!C:C,Grille_HT3!B60,Grille!I:I,"Majeur")</f>
        <v>0</v>
      </c>
      <c r="D60" s="71">
        <f>SUMIFS(Grille!Q:Q,Grille!A:A,Grille_HT3!A60,Grille!C:C,Grille_HT3!B60,Grille!I:I,"Majeur")</f>
        <v>0</v>
      </c>
      <c r="E60" s="71">
        <f>SUMIFS(Grille!N:N,Grille!A:A,Grille_HT3!A60,Grille!C:C,Grille_HT3!B60,Grille!I:I,"Majeur")</f>
        <v>0</v>
      </c>
      <c r="F60" s="72" t="str">
        <f t="shared" si="0"/>
        <v>Non appliqué</v>
      </c>
      <c r="G60" s="71">
        <f>SUMIFS(Grille!R:R,Grille!A:A,Grille_HT3!A60,Grille!C:C,Grille_HT3!B60,Grille!I:I,"Mineur")</f>
        <v>0</v>
      </c>
      <c r="H60" s="71">
        <f>SUMIFS(Grille!Q:Q,Grille!A:A,Grille_HT3!A60,Grille!C:C,Grille_HT3!B60,Grille!I:I,"Mineur")</f>
        <v>0</v>
      </c>
      <c r="I60" s="71">
        <f>SUMIFS(Grille!N:N,Grille!A:A,Grille_HT3!A60,Grille!C:C,Grille_HT3!B60,Grille!I:I,"Mineur")</f>
        <v>0</v>
      </c>
      <c r="J60" s="72" t="str">
        <f t="shared" si="1"/>
        <v>Non appliqué</v>
      </c>
      <c r="K60" s="71">
        <v>20</v>
      </c>
      <c r="L60" s="73" t="str">
        <f t="shared" si="2"/>
        <v>Non appliqué</v>
      </c>
      <c r="M60" s="73" t="str">
        <f t="shared" si="3"/>
        <v>Non appliqué</v>
      </c>
      <c r="N60" s="73" t="str">
        <f>IF(ISNUMBER(F60),F60*L60,F60)</f>
        <v>Non appliqué</v>
      </c>
      <c r="O60" s="73" t="str">
        <f t="shared" si="4"/>
        <v>Non appliqué</v>
      </c>
      <c r="P60" s="73" t="str">
        <f>IF(ISNUMBER(J60),J60*M60,J60)</f>
        <v>Non appliqué</v>
      </c>
      <c r="Q60" s="73" t="str">
        <f t="shared" si="5"/>
        <v>Non appliqué</v>
      </c>
      <c r="R60" s="77"/>
      <c r="S60" s="75"/>
      <c r="T60" s="75"/>
      <c r="U60" s="75"/>
      <c r="V60" s="76"/>
      <c r="W60" s="76"/>
      <c r="X60" s="76"/>
      <c r="Y60" s="134">
        <f t="shared" si="8"/>
        <v>45</v>
      </c>
    </row>
    <row r="61" spans="1:25" ht="25.2" x14ac:dyDescent="0.3">
      <c r="A61" s="4"/>
      <c r="B61" s="4" t="str">
        <f>A62</f>
        <v>Boutique</v>
      </c>
      <c r="C61" s="5"/>
      <c r="D61" s="5"/>
      <c r="E61" s="5"/>
      <c r="F61" s="5"/>
      <c r="G61" s="9"/>
      <c r="H61" s="9"/>
      <c r="I61" s="9"/>
      <c r="J61" s="6"/>
      <c r="K61" s="5"/>
      <c r="L61" s="5"/>
      <c r="M61" s="5"/>
      <c r="N61" s="6"/>
      <c r="O61" s="6"/>
      <c r="P61" s="6"/>
      <c r="Q61" s="6"/>
      <c r="R61" s="70">
        <v>1</v>
      </c>
      <c r="S61" s="7" t="str">
        <f t="shared" si="6"/>
        <v>Non appliqué</v>
      </c>
      <c r="T61" s="7" t="str">
        <f ca="1">IFERROR(S61/SUM(S:S),S61)</f>
        <v>Non appliqué</v>
      </c>
      <c r="U61" s="7" t="str">
        <f ca="1">IFERROR(T61*O62,T61)</f>
        <v>Non appliqué</v>
      </c>
      <c r="V61" s="7" t="str">
        <f t="shared" si="7"/>
        <v>Non appliqué</v>
      </c>
      <c r="W61" s="7" t="str">
        <f ca="1">IFERROR(V61/SUM(V:V),V61)</f>
        <v>Non appliqué</v>
      </c>
      <c r="X61" s="7" t="str">
        <f ca="1">IFERROR(W61*Q62,W61)</f>
        <v>Non appliqué</v>
      </c>
    </row>
    <row r="62" spans="1:25" x14ac:dyDescent="0.3">
      <c r="A62" s="64" t="s">
        <v>738</v>
      </c>
      <c r="B62" s="64" t="s">
        <v>738</v>
      </c>
      <c r="C62" s="71">
        <f>SUMIFS(Grille!R:R,Grille!A:A,Grille_HT3!A62,Grille!C:C,Grille_HT3!B62,Grille!I:I,"Majeur")</f>
        <v>0</v>
      </c>
      <c r="D62" s="71">
        <f>SUMIFS(Grille!Q:Q,Grille!A:A,Grille_HT3!A62,Grille!C:C,Grille_HT3!B62,Grille!I:I,"Majeur")</f>
        <v>0</v>
      </c>
      <c r="E62" s="71">
        <f>SUMIFS(Grille!N:N,Grille!A:A,Grille_HT3!A62,Grille!C:C,Grille_HT3!B62,Grille!I:I,"Majeur")</f>
        <v>0</v>
      </c>
      <c r="F62" s="72" t="str">
        <f t="shared" si="0"/>
        <v>Non appliqué</v>
      </c>
      <c r="G62" s="71">
        <f>SUMIFS(Grille!R:R,Grille!A:A,Grille_HT3!A62,Grille!C:C,Grille_HT3!B62,Grille!I:I,"Mineur")</f>
        <v>0</v>
      </c>
      <c r="H62" s="71">
        <f>SUMIFS(Grille!Q:Q,Grille!A:A,Grille_HT3!A62,Grille!C:C,Grille_HT3!B62,Grille!I:I,"Mineur")</f>
        <v>0</v>
      </c>
      <c r="I62" s="71">
        <f>SUMIFS(Grille!N:N,Grille!A:A,Grille_HT3!A62,Grille!C:C,Grille_HT3!B62,Grille!I:I,"Mineur")</f>
        <v>0</v>
      </c>
      <c r="J62" s="72" t="str">
        <f t="shared" si="1"/>
        <v>Non appliqué</v>
      </c>
      <c r="K62" s="71">
        <v>100</v>
      </c>
      <c r="L62" s="73" t="str">
        <f t="shared" si="2"/>
        <v>Non appliqué</v>
      </c>
      <c r="M62" s="73" t="str">
        <f t="shared" si="3"/>
        <v>Non appliqué</v>
      </c>
      <c r="N62" s="73" t="str">
        <f>IF(ISNUMBER(F62),F62*L62,F62)</f>
        <v>Non appliqué</v>
      </c>
      <c r="O62" s="73" t="str">
        <f t="shared" si="4"/>
        <v>Non appliqué</v>
      </c>
      <c r="P62" s="73" t="str">
        <f>IF(ISNUMBER(J62),J62*M62,J62)</f>
        <v>Non appliqué</v>
      </c>
      <c r="Q62" s="73" t="str">
        <f t="shared" si="5"/>
        <v>Non appliqué</v>
      </c>
      <c r="R62" s="77"/>
      <c r="S62" s="75"/>
      <c r="T62" s="75"/>
      <c r="U62" s="75"/>
      <c r="V62" s="76"/>
      <c r="W62" s="76"/>
      <c r="X62" s="76"/>
      <c r="Y62" s="134">
        <f>Y60+1</f>
        <v>46</v>
      </c>
    </row>
    <row r="63" spans="1:25" x14ac:dyDescent="0.3">
      <c r="A63" s="4"/>
      <c r="B63" s="4" t="s">
        <v>739</v>
      </c>
      <c r="C63" s="5"/>
      <c r="D63" s="5"/>
      <c r="E63" s="5"/>
      <c r="F63" s="5"/>
      <c r="G63" s="9"/>
      <c r="H63" s="9"/>
      <c r="I63" s="9"/>
      <c r="J63" s="6"/>
      <c r="K63" s="5"/>
      <c r="L63" s="5"/>
      <c r="M63" s="5"/>
      <c r="N63" s="6"/>
      <c r="O63" s="6"/>
      <c r="P63" s="6"/>
      <c r="Q63" s="6"/>
      <c r="R63" s="70">
        <v>25</v>
      </c>
      <c r="S63" s="7">
        <f t="shared" ca="1" si="6"/>
        <v>0.25</v>
      </c>
      <c r="T63" s="7">
        <f ca="1">IFERROR(S63/SUM(S:S),S63)</f>
        <v>0.32467532467532467</v>
      </c>
      <c r="U63" s="7">
        <f ca="1">IFERROR(T63*O64,T63)</f>
        <v>0</v>
      </c>
      <c r="V63" s="7">
        <f t="shared" ca="1" si="7"/>
        <v>0.25</v>
      </c>
      <c r="W63" s="7">
        <f ca="1">IFERROR(V63/SUM(V:V),V63)</f>
        <v>0.27173913043478259</v>
      </c>
      <c r="X63" s="7">
        <f ca="1">IFERROR(W63*Q64,W63)</f>
        <v>0</v>
      </c>
    </row>
    <row r="64" spans="1:25" x14ac:dyDescent="0.3">
      <c r="A64" s="64" t="s">
        <v>739</v>
      </c>
      <c r="B64" s="64" t="s">
        <v>682</v>
      </c>
      <c r="C64" s="71">
        <f>SUMIFS(Grille!R:R,Grille!A:A,Grille_HT3!A64,Grille!C:C,Grille_HT3!B64,Grille!I:I,"Majeur")</f>
        <v>16</v>
      </c>
      <c r="D64" s="71">
        <f ca="1">SUMIFS(Grille!Q:Q,Grille!A:A,Grille_HT3!A64,Grille!C:C,Grille_HT3!B64,Grille!I:I,"Majeur")</f>
        <v>16</v>
      </c>
      <c r="E64" s="71">
        <f ca="1">SUMIFS(Grille!N:N,Grille!A:A,Grille_HT3!A64,Grille!C:C,Grille_HT3!B64,Grille!I:I,"Majeur")</f>
        <v>0</v>
      </c>
      <c r="F64" s="72">
        <f t="shared" ca="1" si="0"/>
        <v>0</v>
      </c>
      <c r="G64" s="71">
        <f>SUMIFS(Grille!R:R,Grille!A:A,Grille_HT3!A64,Grille!C:C,Grille_HT3!B64,Grille!I:I,"Mineur")</f>
        <v>4</v>
      </c>
      <c r="H64" s="71">
        <f ca="1">SUMIFS(Grille!Q:Q,Grille!A:A,Grille_HT3!A64,Grille!C:C,Grille_HT3!B64,Grille!I:I,"Mineur")</f>
        <v>4</v>
      </c>
      <c r="I64" s="71">
        <f ca="1">SUMIFS(Grille!N:N,Grille!A:A,Grille_HT3!A64,Grille!C:C,Grille_HT3!B64,Grille!I:I,"Mineur")</f>
        <v>0</v>
      </c>
      <c r="J64" s="72">
        <f t="shared" ca="1" si="1"/>
        <v>0</v>
      </c>
      <c r="K64" s="71">
        <v>10</v>
      </c>
      <c r="L64" s="73">
        <f t="shared" ca="1" si="2"/>
        <v>0.1</v>
      </c>
      <c r="M64" s="73">
        <f t="shared" ca="1" si="3"/>
        <v>0.10526315789473684</v>
      </c>
      <c r="N64" s="73">
        <f t="shared" ref="N64:N74" ca="1" si="11">IF(ISNUMBER(F64),F64*L64,F64)</f>
        <v>0</v>
      </c>
      <c r="O64" s="73">
        <f t="shared" ca="1" si="4"/>
        <v>0</v>
      </c>
      <c r="P64" s="73">
        <f t="shared" ref="P64:P74" ca="1" si="12">IF(ISNUMBER(J64),J64*M64,J64)</f>
        <v>0</v>
      </c>
      <c r="Q64" s="73">
        <f t="shared" ca="1" si="5"/>
        <v>0</v>
      </c>
      <c r="R64" s="77"/>
      <c r="S64" s="75"/>
      <c r="T64" s="75"/>
      <c r="U64" s="75"/>
      <c r="V64" s="76"/>
      <c r="W64" s="76"/>
      <c r="X64" s="76"/>
      <c r="Y64" s="134">
        <f>Y62+1</f>
        <v>47</v>
      </c>
    </row>
    <row r="65" spans="1:25" x14ac:dyDescent="0.3">
      <c r="A65" s="64" t="s">
        <v>739</v>
      </c>
      <c r="B65" s="64" t="s">
        <v>742</v>
      </c>
      <c r="C65" s="71">
        <f>SUMIFS(Grille!R:R,Grille!A:A,Grille_HT3!A65,Grille!C:C,Grille_HT3!B65,Grille!I:I,"Majeur")</f>
        <v>11</v>
      </c>
      <c r="D65" s="71">
        <f ca="1">SUMIFS(Grille!Q:Q,Grille!A:A,Grille_HT3!A65,Grille!C:C,Grille_HT3!B65,Grille!I:I,"Majeur")</f>
        <v>11</v>
      </c>
      <c r="E65" s="71">
        <f ca="1">SUMIFS(Grille!N:N,Grille!A:A,Grille_HT3!A65,Grille!C:C,Grille_HT3!B65,Grille!I:I,"Majeur")</f>
        <v>0</v>
      </c>
      <c r="F65" s="72">
        <f t="shared" ca="1" si="0"/>
        <v>0</v>
      </c>
      <c r="G65" s="71">
        <f>SUMIFS(Grille!R:R,Grille!A:A,Grille_HT3!A65,Grille!C:C,Grille_HT3!B65,Grille!I:I,"Mineur")</f>
        <v>6</v>
      </c>
      <c r="H65" s="71">
        <f ca="1">SUMIFS(Grille!Q:Q,Grille!A:A,Grille_HT3!A65,Grille!C:C,Grille_HT3!B65,Grille!I:I,"Mineur")</f>
        <v>6</v>
      </c>
      <c r="I65" s="71">
        <f ca="1">SUMIFS(Grille!N:N,Grille!A:A,Grille_HT3!A65,Grille!C:C,Grille_HT3!B65,Grille!I:I,"Mineur")</f>
        <v>0</v>
      </c>
      <c r="J65" s="72">
        <f t="shared" ca="1" si="1"/>
        <v>0</v>
      </c>
      <c r="K65" s="71">
        <v>2.5</v>
      </c>
      <c r="L65" s="73">
        <f t="shared" ca="1" si="2"/>
        <v>2.5000000000000001E-2</v>
      </c>
      <c r="M65" s="73">
        <f t="shared" ca="1" si="3"/>
        <v>2.6315789473684209E-2</v>
      </c>
      <c r="N65" s="73">
        <f t="shared" ca="1" si="11"/>
        <v>0</v>
      </c>
      <c r="O65" s="73">
        <f t="shared" ca="1" si="4"/>
        <v>0</v>
      </c>
      <c r="P65" s="73">
        <f t="shared" ca="1" si="12"/>
        <v>0</v>
      </c>
      <c r="Q65" s="73">
        <f t="shared" ca="1" si="5"/>
        <v>0</v>
      </c>
      <c r="R65" s="77"/>
      <c r="S65" s="75"/>
      <c r="T65" s="75"/>
      <c r="U65" s="75"/>
      <c r="V65" s="76"/>
      <c r="W65" s="76"/>
      <c r="X65" s="76"/>
      <c r="Y65" s="134">
        <f t="shared" si="8"/>
        <v>48</v>
      </c>
    </row>
    <row r="66" spans="1:25" x14ac:dyDescent="0.3">
      <c r="A66" s="64" t="s">
        <v>739</v>
      </c>
      <c r="B66" s="64" t="s">
        <v>743</v>
      </c>
      <c r="C66" s="71">
        <f>SUMIFS(Grille!R:R,Grille!A:A,Grille_HT3!A66,Grille!C:C,Grille_HT3!B66,Grille!I:I,"Majeur")</f>
        <v>18</v>
      </c>
      <c r="D66" s="71">
        <f ca="1">SUMIFS(Grille!Q:Q,Grille!A:A,Grille_HT3!A66,Grille!C:C,Grille_HT3!B66,Grille!I:I,"Majeur")</f>
        <v>18</v>
      </c>
      <c r="E66" s="71">
        <f ca="1">SUMIFS(Grille!N:N,Grille!A:A,Grille_HT3!A66,Grille!C:C,Grille_HT3!B66,Grille!I:I,"Majeur")</f>
        <v>0</v>
      </c>
      <c r="F66" s="72">
        <f t="shared" ca="1" si="0"/>
        <v>0</v>
      </c>
      <c r="G66" s="71">
        <f>SUMIFS(Grille!R:R,Grille!A:A,Grille_HT3!A66,Grille!C:C,Grille_HT3!B66,Grille!I:I,"Mineur")</f>
        <v>2</v>
      </c>
      <c r="H66" s="71">
        <f ca="1">SUMIFS(Grille!Q:Q,Grille!A:A,Grille_HT3!A66,Grille!C:C,Grille_HT3!B66,Grille!I:I,"Mineur")</f>
        <v>2</v>
      </c>
      <c r="I66" s="71">
        <f ca="1">SUMIFS(Grille!N:N,Grille!A:A,Grille_HT3!A66,Grille!C:C,Grille_HT3!B66,Grille!I:I,"Mineur")</f>
        <v>0</v>
      </c>
      <c r="J66" s="72">
        <f t="shared" ca="1" si="1"/>
        <v>0</v>
      </c>
      <c r="K66" s="71">
        <v>5</v>
      </c>
      <c r="L66" s="73">
        <f t="shared" ca="1" si="2"/>
        <v>0.05</v>
      </c>
      <c r="M66" s="73">
        <f t="shared" ca="1" si="3"/>
        <v>5.2631578947368418E-2</v>
      </c>
      <c r="N66" s="73">
        <f t="shared" ca="1" si="11"/>
        <v>0</v>
      </c>
      <c r="O66" s="73">
        <f t="shared" ca="1" si="4"/>
        <v>0</v>
      </c>
      <c r="P66" s="73">
        <f t="shared" ca="1" si="12"/>
        <v>0</v>
      </c>
      <c r="Q66" s="73">
        <f t="shared" ca="1" si="5"/>
        <v>0</v>
      </c>
      <c r="R66" s="77"/>
      <c r="S66" s="75"/>
      <c r="T66" s="75"/>
      <c r="U66" s="75"/>
      <c r="V66" s="76"/>
      <c r="W66" s="76"/>
      <c r="X66" s="76"/>
      <c r="Y66" s="134">
        <f t="shared" si="8"/>
        <v>49</v>
      </c>
    </row>
    <row r="67" spans="1:25" x14ac:dyDescent="0.3">
      <c r="A67" s="64" t="s">
        <v>739</v>
      </c>
      <c r="B67" s="64" t="s">
        <v>746</v>
      </c>
      <c r="C67" s="71">
        <f>SUMIFS(Grille!R:R,Grille!A:A,Grille_HT3!A67,Grille!C:C,Grille_HT3!B67,Grille!I:I,"Majeur")</f>
        <v>23</v>
      </c>
      <c r="D67" s="71">
        <f ca="1">SUMIFS(Grille!Q:Q,Grille!A:A,Grille_HT3!A67,Grille!C:C,Grille_HT3!B67,Grille!I:I,"Majeur")</f>
        <v>23</v>
      </c>
      <c r="E67" s="71">
        <f ca="1">SUMIFS(Grille!N:N,Grille!A:A,Grille_HT3!A67,Grille!C:C,Grille_HT3!B67,Grille!I:I,"Majeur")</f>
        <v>0</v>
      </c>
      <c r="F67" s="72">
        <f t="shared" ca="1" si="0"/>
        <v>0</v>
      </c>
      <c r="G67" s="71">
        <f>SUMIFS(Grille!R:R,Grille!A:A,Grille_HT3!A67,Grille!C:C,Grille_HT3!B67,Grille!I:I,"Mineur")</f>
        <v>4</v>
      </c>
      <c r="H67" s="71">
        <f ca="1">SUMIFS(Grille!Q:Q,Grille!A:A,Grille_HT3!A67,Grille!C:C,Grille_HT3!B67,Grille!I:I,"Mineur")</f>
        <v>4</v>
      </c>
      <c r="I67" s="71">
        <f ca="1">SUMIFS(Grille!N:N,Grille!A:A,Grille_HT3!A67,Grille!C:C,Grille_HT3!B67,Grille!I:I,"Mineur")</f>
        <v>0</v>
      </c>
      <c r="J67" s="72">
        <f t="shared" ca="1" si="1"/>
        <v>0</v>
      </c>
      <c r="K67" s="71">
        <v>20</v>
      </c>
      <c r="L67" s="73">
        <f t="shared" ca="1" si="2"/>
        <v>0.2</v>
      </c>
      <c r="M67" s="73">
        <f t="shared" ca="1" si="3"/>
        <v>0.21052631578947367</v>
      </c>
      <c r="N67" s="73">
        <f t="shared" ca="1" si="11"/>
        <v>0</v>
      </c>
      <c r="O67" s="73">
        <f t="shared" ca="1" si="4"/>
        <v>0</v>
      </c>
      <c r="P67" s="73">
        <f t="shared" ca="1" si="12"/>
        <v>0</v>
      </c>
      <c r="Q67" s="73">
        <f t="shared" ca="1" si="5"/>
        <v>0</v>
      </c>
      <c r="R67" s="77"/>
      <c r="S67" s="75"/>
      <c r="T67" s="75"/>
      <c r="U67" s="75"/>
      <c r="V67" s="76"/>
      <c r="W67" s="76"/>
      <c r="X67" s="76"/>
      <c r="Y67" s="134">
        <f t="shared" si="8"/>
        <v>50</v>
      </c>
    </row>
    <row r="68" spans="1:25" x14ac:dyDescent="0.3">
      <c r="A68" s="64" t="s">
        <v>739</v>
      </c>
      <c r="B68" s="64" t="s">
        <v>747</v>
      </c>
      <c r="C68" s="71">
        <f>SUMIFS(Grille!R:R,Grille!A:A,Grille_HT3!A68,Grille!C:C,Grille_HT3!B68,Grille!I:I,"Majeur")</f>
        <v>10</v>
      </c>
      <c r="D68" s="71">
        <f ca="1">SUMIFS(Grille!Q:Q,Grille!A:A,Grille_HT3!A68,Grille!C:C,Grille_HT3!B68,Grille!I:I,"Majeur")</f>
        <v>10</v>
      </c>
      <c r="E68" s="71">
        <f ca="1">SUMIFS(Grille!N:N,Grille!A:A,Grille_HT3!A68,Grille!C:C,Grille_HT3!B68,Grille!I:I,"Majeur")</f>
        <v>0</v>
      </c>
      <c r="F68" s="72">
        <f t="shared" ref="F68:F91" ca="1" si="13">IF(C68=0,"Non appliqué",IF(D68=0,"Non concerné",E68/D68))</f>
        <v>0</v>
      </c>
      <c r="G68" s="71">
        <f>SUMIFS(Grille!R:R,Grille!A:A,Grille_HT3!A68,Grille!C:C,Grille_HT3!B68,Grille!I:I,"Mineur")</f>
        <v>0</v>
      </c>
      <c r="H68" s="71">
        <f>SUMIFS(Grille!Q:Q,Grille!A:A,Grille_HT3!A68,Grille!C:C,Grille_HT3!B68,Grille!I:I,"Mineur")</f>
        <v>0</v>
      </c>
      <c r="I68" s="71">
        <f>SUMIFS(Grille!N:N,Grille!A:A,Grille_HT3!A68,Grille!C:C,Grille_HT3!B68,Grille!I:I,"Mineur")</f>
        <v>0</v>
      </c>
      <c r="J68" s="72" t="str">
        <f t="shared" ref="J68:J91" si="14">IF(G68=0,"Non appliqué",IF(H68=0,"Non concerné",I68/H68))</f>
        <v>Non appliqué</v>
      </c>
      <c r="K68" s="71">
        <v>5</v>
      </c>
      <c r="L68" s="73">
        <f t="shared" ref="L68:L91" ca="1" si="15">IF(D68&gt;0,K68/SUMIFS(K:K,A:A,A68,D:D,"&gt;0"),F68)</f>
        <v>0.05</v>
      </c>
      <c r="M68" s="73" t="str">
        <f t="shared" ref="M68:M91" si="16">IF(H68&gt;0,K68/SUMIFS(K:K,A:A,A68,H:H,"&gt;0"),J68)</f>
        <v>Non appliqué</v>
      </c>
      <c r="N68" s="73">
        <f t="shared" ca="1" si="11"/>
        <v>0</v>
      </c>
      <c r="O68" s="73">
        <f t="shared" ref="O68:O91" ca="1" si="17">IF(SUMIFS(C:C,A:A,A68)=0,"Non appliqué",IF(SUMIFS(D:D,A:A,A68)&gt;=0,SUMIFS(N:N,A:A,A68),"Non concerné"))</f>
        <v>0</v>
      </c>
      <c r="P68" s="73" t="str">
        <f t="shared" si="12"/>
        <v>Non appliqué</v>
      </c>
      <c r="Q68" s="73">
        <f t="shared" ref="Q68:Q91" ca="1" si="18">IF(SUMIFS(G:G,A:A,A68)=0,"Non appliqué",IF(SUMIFS(H:H,A:A,A68)&gt;=0,SUMIFS(P:P,A:A,A68),"Non concerné"))</f>
        <v>0</v>
      </c>
      <c r="R68" s="77"/>
      <c r="S68" s="75"/>
      <c r="T68" s="75"/>
      <c r="U68" s="75"/>
      <c r="V68" s="76"/>
      <c r="W68" s="76"/>
      <c r="X68" s="76"/>
      <c r="Y68" s="134">
        <f t="shared" si="8"/>
        <v>51</v>
      </c>
    </row>
    <row r="69" spans="1:25" x14ac:dyDescent="0.3">
      <c r="A69" s="64" t="s">
        <v>739</v>
      </c>
      <c r="B69" s="64" t="s">
        <v>748</v>
      </c>
      <c r="C69" s="71">
        <f>SUMIFS(Grille!R:R,Grille!A:A,Grille_HT3!A69,Grille!C:C,Grille_HT3!B69,Grille!I:I,"Majeur")</f>
        <v>14</v>
      </c>
      <c r="D69" s="71">
        <f ca="1">SUMIFS(Grille!Q:Q,Grille!A:A,Grille_HT3!A69,Grille!C:C,Grille_HT3!B69,Grille!I:I,"Majeur")</f>
        <v>14</v>
      </c>
      <c r="E69" s="71">
        <f ca="1">SUMIFS(Grille!N:N,Grille!A:A,Grille_HT3!A69,Grille!C:C,Grille_HT3!B69,Grille!I:I,"Majeur")</f>
        <v>0</v>
      </c>
      <c r="F69" s="72">
        <f t="shared" ca="1" si="13"/>
        <v>0</v>
      </c>
      <c r="G69" s="71">
        <f>SUMIFS(Grille!R:R,Grille!A:A,Grille_HT3!A69,Grille!C:C,Grille_HT3!B69,Grille!I:I,"Mineur")</f>
        <v>6</v>
      </c>
      <c r="H69" s="71">
        <f ca="1">SUMIFS(Grille!Q:Q,Grille!A:A,Grille_HT3!A69,Grille!C:C,Grille_HT3!B69,Grille!I:I,"Mineur")</f>
        <v>6</v>
      </c>
      <c r="I69" s="71">
        <f ca="1">SUMIFS(Grille!N:N,Grille!A:A,Grille_HT3!A69,Grille!C:C,Grille_HT3!B69,Grille!I:I,"Mineur")</f>
        <v>0</v>
      </c>
      <c r="J69" s="72">
        <f t="shared" ca="1" si="14"/>
        <v>0</v>
      </c>
      <c r="K69" s="71">
        <v>20</v>
      </c>
      <c r="L69" s="73">
        <f t="shared" ca="1" si="15"/>
        <v>0.2</v>
      </c>
      <c r="M69" s="73">
        <f t="shared" ca="1" si="16"/>
        <v>0.21052631578947367</v>
      </c>
      <c r="N69" s="73">
        <f t="shared" ca="1" si="11"/>
        <v>0</v>
      </c>
      <c r="O69" s="73">
        <f t="shared" ca="1" si="17"/>
        <v>0</v>
      </c>
      <c r="P69" s="73">
        <f t="shared" ca="1" si="12"/>
        <v>0</v>
      </c>
      <c r="Q69" s="73">
        <f t="shared" ca="1" si="18"/>
        <v>0</v>
      </c>
      <c r="R69" s="77"/>
      <c r="S69" s="75"/>
      <c r="T69" s="75"/>
      <c r="U69" s="75"/>
      <c r="V69" s="76"/>
      <c r="W69" s="76"/>
      <c r="X69" s="76"/>
      <c r="Y69" s="134">
        <f t="shared" si="8"/>
        <v>52</v>
      </c>
    </row>
    <row r="70" spans="1:25" x14ac:dyDescent="0.3">
      <c r="A70" s="64" t="s">
        <v>739</v>
      </c>
      <c r="B70" s="64" t="s">
        <v>751</v>
      </c>
      <c r="C70" s="71">
        <f>SUMIFS(Grille!R:R,Grille!A:A,Grille_HT3!A70,Grille!C:C,Grille_HT3!B70,Grille!I:I,"Majeur")</f>
        <v>12</v>
      </c>
      <c r="D70" s="71">
        <f ca="1">SUMIFS(Grille!Q:Q,Grille!A:A,Grille_HT3!A70,Grille!C:C,Grille_HT3!B70,Grille!I:I,"Majeur")</f>
        <v>12</v>
      </c>
      <c r="E70" s="71">
        <f ca="1">SUMIFS(Grille!N:N,Grille!A:A,Grille_HT3!A70,Grille!C:C,Grille_HT3!B70,Grille!I:I,"Majeur")</f>
        <v>0</v>
      </c>
      <c r="F70" s="72">
        <f t="shared" ca="1" si="13"/>
        <v>0</v>
      </c>
      <c r="G70" s="71">
        <f>SUMIFS(Grille!R:R,Grille!A:A,Grille_HT3!A70,Grille!C:C,Grille_HT3!B70,Grille!I:I,"Mineur")</f>
        <v>8</v>
      </c>
      <c r="H70" s="71">
        <f ca="1">SUMIFS(Grille!Q:Q,Grille!A:A,Grille_HT3!A70,Grille!C:C,Grille_HT3!B70,Grille!I:I,"Mineur")</f>
        <v>8</v>
      </c>
      <c r="I70" s="71">
        <f ca="1">SUMIFS(Grille!N:N,Grille!A:A,Grille_HT3!A70,Grille!C:C,Grille_HT3!B70,Grille!I:I,"Mineur")</f>
        <v>0</v>
      </c>
      <c r="J70" s="72">
        <f t="shared" ca="1" si="14"/>
        <v>0</v>
      </c>
      <c r="K70" s="71">
        <v>5</v>
      </c>
      <c r="L70" s="73">
        <f t="shared" ca="1" si="15"/>
        <v>0.05</v>
      </c>
      <c r="M70" s="73">
        <f t="shared" ca="1" si="16"/>
        <v>5.2631578947368418E-2</v>
      </c>
      <c r="N70" s="73">
        <f t="shared" ca="1" si="11"/>
        <v>0</v>
      </c>
      <c r="O70" s="73">
        <f t="shared" ca="1" si="17"/>
        <v>0</v>
      </c>
      <c r="P70" s="73">
        <f t="shared" ca="1" si="12"/>
        <v>0</v>
      </c>
      <c r="Q70" s="73">
        <f t="shared" ca="1" si="18"/>
        <v>0</v>
      </c>
      <c r="R70" s="77"/>
      <c r="S70" s="75"/>
      <c r="T70" s="75"/>
      <c r="U70" s="75"/>
      <c r="V70" s="76"/>
      <c r="W70" s="76"/>
      <c r="X70" s="76"/>
      <c r="Y70" s="134">
        <f t="shared" si="8"/>
        <v>53</v>
      </c>
    </row>
    <row r="71" spans="1:25" x14ac:dyDescent="0.3">
      <c r="A71" s="64" t="s">
        <v>739</v>
      </c>
      <c r="B71" s="64" t="s">
        <v>752</v>
      </c>
      <c r="C71" s="71">
        <f>SUMIFS(Grille!R:R,Grille!A:A,Grille_HT3!A71,Grille!C:C,Grille_HT3!B71,Grille!I:I,"Majeur")</f>
        <v>12</v>
      </c>
      <c r="D71" s="71">
        <f ca="1">SUMIFS(Grille!Q:Q,Grille!A:A,Grille_HT3!A71,Grille!C:C,Grille_HT3!B71,Grille!I:I,"Majeur")</f>
        <v>12</v>
      </c>
      <c r="E71" s="71">
        <f ca="1">SUMIFS(Grille!N:N,Grille!A:A,Grille_HT3!A71,Grille!C:C,Grille_HT3!B71,Grille!I:I,"Majeur")</f>
        <v>0</v>
      </c>
      <c r="F71" s="72">
        <f t="shared" ca="1" si="13"/>
        <v>0</v>
      </c>
      <c r="G71" s="71">
        <f>SUMIFS(Grille!R:R,Grille!A:A,Grille_HT3!A71,Grille!C:C,Grille_HT3!B71,Grille!I:I,"Mineur")</f>
        <v>2</v>
      </c>
      <c r="H71" s="71">
        <f ca="1">SUMIFS(Grille!Q:Q,Grille!A:A,Grille_HT3!A71,Grille!C:C,Grille_HT3!B71,Grille!I:I,"Mineur")</f>
        <v>2</v>
      </c>
      <c r="I71" s="71">
        <f ca="1">SUMIFS(Grille!N:N,Grille!A:A,Grille_HT3!A71,Grille!C:C,Grille_HT3!B71,Grille!I:I,"Mineur")</f>
        <v>0</v>
      </c>
      <c r="J71" s="72">
        <f t="shared" ca="1" si="14"/>
        <v>0</v>
      </c>
      <c r="K71" s="71">
        <v>5</v>
      </c>
      <c r="L71" s="73">
        <f t="shared" ca="1" si="15"/>
        <v>0.05</v>
      </c>
      <c r="M71" s="73">
        <f t="shared" ca="1" si="16"/>
        <v>5.2631578947368418E-2</v>
      </c>
      <c r="N71" s="73">
        <f t="shared" ca="1" si="11"/>
        <v>0</v>
      </c>
      <c r="O71" s="73">
        <f t="shared" ca="1" si="17"/>
        <v>0</v>
      </c>
      <c r="P71" s="73">
        <f t="shared" ca="1" si="12"/>
        <v>0</v>
      </c>
      <c r="Q71" s="73">
        <f t="shared" ca="1" si="18"/>
        <v>0</v>
      </c>
      <c r="R71" s="77"/>
      <c r="S71" s="75"/>
      <c r="T71" s="75"/>
      <c r="U71" s="75"/>
      <c r="V71" s="76"/>
      <c r="W71" s="76"/>
      <c r="X71" s="76"/>
      <c r="Y71" s="134">
        <f t="shared" ref="Y71:Y91" si="19">Y70+1</f>
        <v>54</v>
      </c>
    </row>
    <row r="72" spans="1:25" ht="25.2" x14ac:dyDescent="0.3">
      <c r="A72" s="64" t="s">
        <v>739</v>
      </c>
      <c r="B72" s="64" t="s">
        <v>753</v>
      </c>
      <c r="C72" s="71">
        <f>SUMIFS(Grille!R:R,Grille!A:A,Grille_HT3!A72,Grille!C:C,Grille_HT3!B72,Grille!I:I,"Majeur")</f>
        <v>10</v>
      </c>
      <c r="D72" s="71">
        <f ca="1">SUMIFS(Grille!Q:Q,Grille!A:A,Grille_HT3!A72,Grille!C:C,Grille_HT3!B72,Grille!I:I,"Majeur")</f>
        <v>10</v>
      </c>
      <c r="E72" s="71">
        <f ca="1">SUMIFS(Grille!N:N,Grille!A:A,Grille_HT3!A72,Grille!C:C,Grille_HT3!B72,Grille!I:I,"Majeur")</f>
        <v>0</v>
      </c>
      <c r="F72" s="72">
        <f t="shared" ca="1" si="13"/>
        <v>0</v>
      </c>
      <c r="G72" s="71">
        <f>SUMIFS(Grille!R:R,Grille!A:A,Grille_HT3!A72,Grille!C:C,Grille_HT3!B72,Grille!I:I,"Mineur")</f>
        <v>8</v>
      </c>
      <c r="H72" s="71">
        <f ca="1">SUMIFS(Grille!Q:Q,Grille!A:A,Grille_HT3!A72,Grille!C:C,Grille_HT3!B72,Grille!I:I,"Mineur")</f>
        <v>8</v>
      </c>
      <c r="I72" s="71">
        <f ca="1">SUMIFS(Grille!N:N,Grille!A:A,Grille_HT3!A72,Grille!C:C,Grille_HT3!B72,Grille!I:I,"Mineur")</f>
        <v>0</v>
      </c>
      <c r="J72" s="72">
        <f t="shared" ca="1" si="14"/>
        <v>0</v>
      </c>
      <c r="K72" s="71">
        <v>7.5</v>
      </c>
      <c r="L72" s="73">
        <f t="shared" ca="1" si="15"/>
        <v>7.4999999999999997E-2</v>
      </c>
      <c r="M72" s="73">
        <f t="shared" ca="1" si="16"/>
        <v>7.8947368421052627E-2</v>
      </c>
      <c r="N72" s="73">
        <f t="shared" ca="1" si="11"/>
        <v>0</v>
      </c>
      <c r="O72" s="73">
        <f t="shared" ca="1" si="17"/>
        <v>0</v>
      </c>
      <c r="P72" s="73">
        <f t="shared" ca="1" si="12"/>
        <v>0</v>
      </c>
      <c r="Q72" s="73">
        <f t="shared" ca="1" si="18"/>
        <v>0</v>
      </c>
      <c r="R72" s="77"/>
      <c r="S72" s="75"/>
      <c r="T72" s="75"/>
      <c r="U72" s="75"/>
      <c r="V72" s="76"/>
      <c r="W72" s="76"/>
      <c r="X72" s="76"/>
      <c r="Y72" s="134">
        <f t="shared" si="19"/>
        <v>55</v>
      </c>
    </row>
    <row r="73" spans="1:25" x14ac:dyDescent="0.3">
      <c r="A73" s="64" t="s">
        <v>739</v>
      </c>
      <c r="B73" s="64" t="s">
        <v>755</v>
      </c>
      <c r="C73" s="71">
        <f>SUMIFS(Grille!R:R,Grille!A:A,Grille_HT3!A73,Grille!C:C,Grille_HT3!B73,Grille!I:I,"Majeur")</f>
        <v>6</v>
      </c>
      <c r="D73" s="71">
        <f ca="1">SUMIFS(Grille!Q:Q,Grille!A:A,Grille_HT3!A73,Grille!C:C,Grille_HT3!B73,Grille!I:I,"Majeur")</f>
        <v>6</v>
      </c>
      <c r="E73" s="71">
        <f ca="1">SUMIFS(Grille!N:N,Grille!A:A,Grille_HT3!A73,Grille!C:C,Grille_HT3!B73,Grille!I:I,"Majeur")</f>
        <v>0</v>
      </c>
      <c r="F73" s="72">
        <f t="shared" ca="1" si="13"/>
        <v>0</v>
      </c>
      <c r="G73" s="71">
        <f>SUMIFS(Grille!R:R,Grille!A:A,Grille_HT3!A73,Grille!C:C,Grille_HT3!B73,Grille!I:I,"Mineur")</f>
        <v>14</v>
      </c>
      <c r="H73" s="71">
        <f ca="1">SUMIFS(Grille!Q:Q,Grille!A:A,Grille_HT3!A73,Grille!C:C,Grille_HT3!B73,Grille!I:I,"Mineur")</f>
        <v>14</v>
      </c>
      <c r="I73" s="71">
        <f ca="1">SUMIFS(Grille!N:N,Grille!A:A,Grille_HT3!A73,Grille!C:C,Grille_HT3!B73,Grille!I:I,"Mineur")</f>
        <v>0</v>
      </c>
      <c r="J73" s="72">
        <f t="shared" ca="1" si="14"/>
        <v>0</v>
      </c>
      <c r="K73" s="71">
        <v>10</v>
      </c>
      <c r="L73" s="73">
        <f t="shared" ca="1" si="15"/>
        <v>0.1</v>
      </c>
      <c r="M73" s="73">
        <f t="shared" ca="1" si="16"/>
        <v>0.10526315789473684</v>
      </c>
      <c r="N73" s="73">
        <f t="shared" ca="1" si="11"/>
        <v>0</v>
      </c>
      <c r="O73" s="73">
        <f t="shared" ca="1" si="17"/>
        <v>0</v>
      </c>
      <c r="P73" s="73">
        <f t="shared" ca="1" si="12"/>
        <v>0</v>
      </c>
      <c r="Q73" s="73">
        <f t="shared" ca="1" si="18"/>
        <v>0</v>
      </c>
      <c r="R73" s="77"/>
      <c r="S73" s="75"/>
      <c r="T73" s="75"/>
      <c r="U73" s="75"/>
      <c r="V73" s="76"/>
      <c r="W73" s="76"/>
      <c r="X73" s="76"/>
      <c r="Y73" s="134">
        <f t="shared" si="19"/>
        <v>56</v>
      </c>
    </row>
    <row r="74" spans="1:25" x14ac:dyDescent="0.3">
      <c r="A74" s="64" t="s">
        <v>739</v>
      </c>
      <c r="B74" s="64" t="s">
        <v>756</v>
      </c>
      <c r="C74" s="71">
        <f>SUMIFS(Grille!R:R,Grille!A:A,Grille_HT3!A74,Grille!C:C,Grille_HT3!B74,Grille!I:I,"Majeur")</f>
        <v>4</v>
      </c>
      <c r="D74" s="71">
        <f ca="1">SUMIFS(Grille!Q:Q,Grille!A:A,Grille_HT3!A74,Grille!C:C,Grille_HT3!B74,Grille!I:I,"Majeur")</f>
        <v>4</v>
      </c>
      <c r="E74" s="71">
        <f ca="1">SUMIFS(Grille!N:N,Grille!A:A,Grille_HT3!A74,Grille!C:C,Grille_HT3!B74,Grille!I:I,"Majeur")</f>
        <v>0</v>
      </c>
      <c r="F74" s="72">
        <f t="shared" ca="1" si="13"/>
        <v>0</v>
      </c>
      <c r="G74" s="71">
        <f>SUMIFS(Grille!R:R,Grille!A:A,Grille_HT3!A74,Grille!C:C,Grille_HT3!B74,Grille!I:I,"Mineur")</f>
        <v>2</v>
      </c>
      <c r="H74" s="71">
        <f ca="1">SUMIFS(Grille!Q:Q,Grille!A:A,Grille_HT3!A74,Grille!C:C,Grille_HT3!B74,Grille!I:I,"Mineur")</f>
        <v>2</v>
      </c>
      <c r="I74" s="71">
        <f ca="1">SUMIFS(Grille!N:N,Grille!A:A,Grille_HT3!A74,Grille!C:C,Grille_HT3!B74,Grille!I:I,"Mineur")</f>
        <v>0</v>
      </c>
      <c r="J74" s="72">
        <f t="shared" ca="1" si="14"/>
        <v>0</v>
      </c>
      <c r="K74" s="71">
        <v>10</v>
      </c>
      <c r="L74" s="73">
        <f t="shared" ca="1" si="15"/>
        <v>0.1</v>
      </c>
      <c r="M74" s="73">
        <f t="shared" ca="1" si="16"/>
        <v>0.10526315789473684</v>
      </c>
      <c r="N74" s="73">
        <f t="shared" ca="1" si="11"/>
        <v>0</v>
      </c>
      <c r="O74" s="73">
        <f t="shared" ca="1" si="17"/>
        <v>0</v>
      </c>
      <c r="P74" s="73">
        <f t="shared" ca="1" si="12"/>
        <v>0</v>
      </c>
      <c r="Q74" s="73">
        <f t="shared" ca="1" si="18"/>
        <v>0</v>
      </c>
      <c r="R74" s="77"/>
      <c r="S74" s="75"/>
      <c r="T74" s="75"/>
      <c r="U74" s="75"/>
      <c r="V74" s="76"/>
      <c r="W74" s="76"/>
      <c r="X74" s="76"/>
      <c r="Y74" s="134">
        <f t="shared" si="19"/>
        <v>57</v>
      </c>
    </row>
    <row r="75" spans="1:25" x14ac:dyDescent="0.3">
      <c r="A75" s="4"/>
      <c r="B75" s="4" t="str">
        <f>A76</f>
        <v>Salle de bain et toilettes</v>
      </c>
      <c r="C75" s="5"/>
      <c r="D75" s="5"/>
      <c r="E75" s="5"/>
      <c r="F75" s="5"/>
      <c r="G75" s="9"/>
      <c r="H75" s="9"/>
      <c r="I75" s="9"/>
      <c r="J75" s="6"/>
      <c r="K75" s="5"/>
      <c r="L75" s="5"/>
      <c r="M75" s="5"/>
      <c r="N75" s="6"/>
      <c r="O75" s="6"/>
      <c r="P75" s="6"/>
      <c r="Q75" s="6"/>
      <c r="R75" s="70">
        <v>10</v>
      </c>
      <c r="S75" s="7">
        <f t="shared" ref="S75:S88" ca="1" si="20">IF(SUMIF($A:$A,$A76,D:D)&gt;0,R75/SUM($R:$R),O76)</f>
        <v>0.1</v>
      </c>
      <c r="T75" s="7">
        <f ca="1">IFERROR(S75/SUM(S:S),S75)</f>
        <v>0.12987012987012989</v>
      </c>
      <c r="U75" s="7">
        <f ca="1">IFERROR(T75*O76,T75)</f>
        <v>0</v>
      </c>
      <c r="V75" s="7">
        <f t="shared" ref="V75:V88" ca="1" si="21">IF(SUMIF($A:$A,$A76,H:H)&gt;0,R75/SUM(R:R),Q76)</f>
        <v>0.1</v>
      </c>
      <c r="W75" s="7">
        <f ca="1">IFERROR(V75/SUM(V:V),V75)</f>
        <v>0.10869565217391304</v>
      </c>
      <c r="X75" s="7">
        <f ca="1">IFERROR(W75*Q76,W75)</f>
        <v>0</v>
      </c>
    </row>
    <row r="76" spans="1:25" x14ac:dyDescent="0.3">
      <c r="A76" s="64" t="s">
        <v>757</v>
      </c>
      <c r="B76" s="64" t="s">
        <v>682</v>
      </c>
      <c r="C76" s="71">
        <f>SUMIFS(Grille!R:R,Grille!A:A,Grille_HT3!A76,Grille!C:C,Grille_HT3!B76,Grille!I:I,"Majeur")</f>
        <v>10</v>
      </c>
      <c r="D76" s="71">
        <f ca="1">SUMIFS(Grille!Q:Q,Grille!A:A,Grille_HT3!A76,Grille!C:C,Grille_HT3!B76,Grille!I:I,"Majeur")</f>
        <v>10</v>
      </c>
      <c r="E76" s="71">
        <f ca="1">SUMIFS(Grille!N:N,Grille!A:A,Grille_HT3!A76,Grille!C:C,Grille_HT3!B76,Grille!I:I,"Majeur")</f>
        <v>0</v>
      </c>
      <c r="F76" s="72">
        <f t="shared" ca="1" si="13"/>
        <v>0</v>
      </c>
      <c r="G76" s="71">
        <f>SUMIFS(Grille!R:R,Grille!A:A,Grille_HT3!A76,Grille!C:C,Grille_HT3!B76,Grille!I:I,"Mineur")</f>
        <v>1</v>
      </c>
      <c r="H76" s="71">
        <f ca="1">SUMIFS(Grille!Q:Q,Grille!A:A,Grille_HT3!A76,Grille!C:C,Grille_HT3!B76,Grille!I:I,"Mineur")</f>
        <v>1</v>
      </c>
      <c r="I76" s="71">
        <f ca="1">SUMIFS(Grille!N:N,Grille!A:A,Grille_HT3!A76,Grille!C:C,Grille_HT3!B76,Grille!I:I,"Mineur")</f>
        <v>0</v>
      </c>
      <c r="J76" s="72">
        <f t="shared" ca="1" si="14"/>
        <v>0</v>
      </c>
      <c r="K76" s="71">
        <v>10</v>
      </c>
      <c r="L76" s="73">
        <f t="shared" ca="1" si="15"/>
        <v>0.10989010989010989</v>
      </c>
      <c r="M76" s="73">
        <f t="shared" ca="1" si="16"/>
        <v>0.12345679012345678</v>
      </c>
      <c r="N76" s="73">
        <f t="shared" ref="N76:N83" ca="1" si="22">IF(ISNUMBER(F76),F76*L76,F76)</f>
        <v>0</v>
      </c>
      <c r="O76" s="73">
        <f t="shared" ca="1" si="17"/>
        <v>0</v>
      </c>
      <c r="P76" s="73">
        <f t="shared" ref="P76:P83" ca="1" si="23">IF(ISNUMBER(J76),J76*M76,J76)</f>
        <v>0</v>
      </c>
      <c r="Q76" s="73">
        <f t="shared" ca="1" si="18"/>
        <v>0</v>
      </c>
      <c r="R76" s="77"/>
      <c r="S76" s="75"/>
      <c r="T76" s="75"/>
      <c r="U76" s="75"/>
      <c r="V76" s="76"/>
      <c r="W76" s="76"/>
      <c r="X76" s="76"/>
      <c r="Y76" s="134">
        <f>Y74+1</f>
        <v>58</v>
      </c>
    </row>
    <row r="77" spans="1:25" x14ac:dyDescent="0.3">
      <c r="A77" s="64" t="s">
        <v>757</v>
      </c>
      <c r="B77" s="64" t="s">
        <v>675</v>
      </c>
      <c r="C77" s="71">
        <f>SUMIFS(Grille!R:R,Grille!A:A,Grille_HT3!A77,Grille!C:C,Grille_HT3!B77,Grille!I:I,"Majeur")</f>
        <v>13</v>
      </c>
      <c r="D77" s="71">
        <f ca="1">SUMIFS(Grille!Q:Q,Grille!A:A,Grille_HT3!A77,Grille!C:C,Grille_HT3!B77,Grille!I:I,"Majeur")</f>
        <v>13</v>
      </c>
      <c r="E77" s="71">
        <f ca="1">SUMIFS(Grille!N:N,Grille!A:A,Grille_HT3!A77,Grille!C:C,Grille_HT3!B77,Grille!I:I,"Majeur")</f>
        <v>0</v>
      </c>
      <c r="F77" s="72">
        <f t="shared" ca="1" si="13"/>
        <v>0</v>
      </c>
      <c r="G77" s="71">
        <f>SUMIFS(Grille!R:R,Grille!A:A,Grille_HT3!A77,Grille!C:C,Grille_HT3!B77,Grille!I:I,"Mineur")</f>
        <v>0</v>
      </c>
      <c r="H77" s="71">
        <f>SUMIFS(Grille!Q:Q,Grille!A:A,Grille_HT3!A77,Grille!C:C,Grille_HT3!B77,Grille!I:I,"Mineur")</f>
        <v>0</v>
      </c>
      <c r="I77" s="71">
        <f>SUMIFS(Grille!N:N,Grille!A:A,Grille_HT3!A77,Grille!C:C,Grille_HT3!B77,Grille!I:I,"Mineur")</f>
        <v>0</v>
      </c>
      <c r="J77" s="72" t="str">
        <f t="shared" si="14"/>
        <v>Non appliqué</v>
      </c>
      <c r="K77" s="71">
        <v>10</v>
      </c>
      <c r="L77" s="73">
        <f t="shared" ca="1" si="15"/>
        <v>0.10989010989010989</v>
      </c>
      <c r="M77" s="73" t="str">
        <f t="shared" si="16"/>
        <v>Non appliqué</v>
      </c>
      <c r="N77" s="73">
        <f t="shared" ca="1" si="22"/>
        <v>0</v>
      </c>
      <c r="O77" s="73">
        <f t="shared" ca="1" si="17"/>
        <v>0</v>
      </c>
      <c r="P77" s="73" t="str">
        <f t="shared" si="23"/>
        <v>Non appliqué</v>
      </c>
      <c r="Q77" s="73">
        <f t="shared" ca="1" si="18"/>
        <v>0</v>
      </c>
      <c r="R77" s="77"/>
      <c r="S77" s="75"/>
      <c r="T77" s="75"/>
      <c r="U77" s="75"/>
      <c r="V77" s="76"/>
      <c r="W77" s="76"/>
      <c r="X77" s="76"/>
      <c r="Y77" s="134">
        <f t="shared" si="19"/>
        <v>59</v>
      </c>
    </row>
    <row r="78" spans="1:25" x14ac:dyDescent="0.3">
      <c r="A78" s="64" t="s">
        <v>757</v>
      </c>
      <c r="B78" s="64" t="s">
        <v>759</v>
      </c>
      <c r="C78" s="71">
        <f>SUMIFS(Grille!R:R,Grille!A:A,Grille_HT3!A78,Grille!C:C,Grille_HT3!B78,Grille!I:I,"Majeur")</f>
        <v>26</v>
      </c>
      <c r="D78" s="71">
        <f ca="1">SUMIFS(Grille!Q:Q,Grille!A:A,Grille_HT3!A78,Grille!C:C,Grille_HT3!B78,Grille!I:I,"Majeur")</f>
        <v>26</v>
      </c>
      <c r="E78" s="71">
        <f ca="1">SUMIFS(Grille!N:N,Grille!A:A,Grille_HT3!A78,Grille!C:C,Grille_HT3!B78,Grille!I:I,"Majeur")</f>
        <v>0</v>
      </c>
      <c r="F78" s="72">
        <f t="shared" ca="1" si="13"/>
        <v>0</v>
      </c>
      <c r="G78" s="71">
        <f>SUMIFS(Grille!R:R,Grille!A:A,Grille_HT3!A78,Grille!C:C,Grille_HT3!B78,Grille!I:I,"Mineur")</f>
        <v>1</v>
      </c>
      <c r="H78" s="71">
        <f ca="1">SUMIFS(Grille!Q:Q,Grille!A:A,Grille_HT3!A78,Grille!C:C,Grille_HT3!B78,Grille!I:I,"Mineur")</f>
        <v>1</v>
      </c>
      <c r="I78" s="71">
        <f ca="1">SUMIFS(Grille!N:N,Grille!A:A,Grille_HT3!A78,Grille!C:C,Grille_HT3!B78,Grille!I:I,"Mineur")</f>
        <v>0</v>
      </c>
      <c r="J78" s="72">
        <f t="shared" ca="1" si="14"/>
        <v>0</v>
      </c>
      <c r="K78" s="71">
        <v>20</v>
      </c>
      <c r="L78" s="73">
        <f t="shared" ca="1" si="15"/>
        <v>0.21978021978021978</v>
      </c>
      <c r="M78" s="73">
        <f t="shared" ca="1" si="16"/>
        <v>0.24691358024691357</v>
      </c>
      <c r="N78" s="73">
        <f t="shared" ca="1" si="22"/>
        <v>0</v>
      </c>
      <c r="O78" s="73">
        <f t="shared" ca="1" si="17"/>
        <v>0</v>
      </c>
      <c r="P78" s="73">
        <f t="shared" ca="1" si="23"/>
        <v>0</v>
      </c>
      <c r="Q78" s="73">
        <f t="shared" ca="1" si="18"/>
        <v>0</v>
      </c>
      <c r="R78" s="77"/>
      <c r="S78" s="75"/>
      <c r="T78" s="75"/>
      <c r="U78" s="75"/>
      <c r="V78" s="76"/>
      <c r="W78" s="76"/>
      <c r="X78" s="76"/>
      <c r="Y78" s="134">
        <f t="shared" si="19"/>
        <v>60</v>
      </c>
    </row>
    <row r="79" spans="1:25" x14ac:dyDescent="0.3">
      <c r="A79" s="64" t="s">
        <v>757</v>
      </c>
      <c r="B79" s="64" t="s">
        <v>761</v>
      </c>
      <c r="C79" s="71">
        <f>SUMIFS(Grille!R:R,Grille!A:A,Grille_HT3!A79,Grille!C:C,Grille_HT3!B79,Grille!I:I,"Majeur")</f>
        <v>0</v>
      </c>
      <c r="D79" s="71">
        <f>SUMIFS(Grille!Q:Q,Grille!A:A,Grille_HT3!A79,Grille!C:C,Grille_HT3!B79,Grille!I:I,"Majeur")</f>
        <v>0</v>
      </c>
      <c r="E79" s="71">
        <f>SUMIFS(Grille!N:N,Grille!A:A,Grille_HT3!A79,Grille!C:C,Grille_HT3!B79,Grille!I:I,"Majeur")</f>
        <v>0</v>
      </c>
      <c r="F79" s="72" t="str">
        <f t="shared" si="13"/>
        <v>Non appliqué</v>
      </c>
      <c r="G79" s="71">
        <f>SUMIFS(Grille!R:R,Grille!A:A,Grille_HT3!A79,Grille!C:C,Grille_HT3!B79,Grille!I:I,"Mineur")</f>
        <v>0</v>
      </c>
      <c r="H79" s="71">
        <f>SUMIFS(Grille!Q:Q,Grille!A:A,Grille_HT3!A79,Grille!C:C,Grille_HT3!B79,Grille!I:I,"Mineur")</f>
        <v>0</v>
      </c>
      <c r="I79" s="71">
        <f>SUMIFS(Grille!N:N,Grille!A:A,Grille_HT3!A79,Grille!C:C,Grille_HT3!B79,Grille!I:I,"Mineur")</f>
        <v>0</v>
      </c>
      <c r="J79" s="72" t="str">
        <f t="shared" si="14"/>
        <v>Non appliqué</v>
      </c>
      <c r="K79" s="71">
        <v>10</v>
      </c>
      <c r="L79" s="73" t="str">
        <f t="shared" si="15"/>
        <v>Non appliqué</v>
      </c>
      <c r="M79" s="73" t="str">
        <f t="shared" si="16"/>
        <v>Non appliqué</v>
      </c>
      <c r="N79" s="73" t="str">
        <f t="shared" si="22"/>
        <v>Non appliqué</v>
      </c>
      <c r="O79" s="73">
        <f t="shared" ca="1" si="17"/>
        <v>0</v>
      </c>
      <c r="P79" s="73" t="str">
        <f t="shared" si="23"/>
        <v>Non appliqué</v>
      </c>
      <c r="Q79" s="73">
        <f t="shared" ca="1" si="18"/>
        <v>0</v>
      </c>
      <c r="R79" s="77"/>
      <c r="S79" s="75"/>
      <c r="T79" s="75"/>
      <c r="U79" s="75"/>
      <c r="V79" s="76"/>
      <c r="W79" s="76"/>
      <c r="X79" s="76"/>
      <c r="Y79" s="134">
        <f t="shared" si="19"/>
        <v>61</v>
      </c>
    </row>
    <row r="80" spans="1:25" ht="25.2" x14ac:dyDescent="0.3">
      <c r="A80" s="64" t="s">
        <v>757</v>
      </c>
      <c r="B80" s="64" t="s">
        <v>762</v>
      </c>
      <c r="C80" s="71">
        <f>SUMIFS(Grille!R:R,Grille!A:A,Grille_HT3!A80,Grille!C:C,Grille_HT3!B80,Grille!I:I,"Majeur")</f>
        <v>10</v>
      </c>
      <c r="D80" s="71">
        <f ca="1">SUMIFS(Grille!Q:Q,Grille!A:A,Grille_HT3!A80,Grille!C:C,Grille_HT3!B80,Grille!I:I,"Majeur")</f>
        <v>10</v>
      </c>
      <c r="E80" s="71">
        <f ca="1">SUMIFS(Grille!N:N,Grille!A:A,Grille_HT3!A80,Grille!C:C,Grille_HT3!B80,Grille!I:I,"Majeur")</f>
        <v>0</v>
      </c>
      <c r="F80" s="72">
        <f t="shared" ca="1" si="13"/>
        <v>0</v>
      </c>
      <c r="G80" s="71">
        <f>SUMIFS(Grille!R:R,Grille!A:A,Grille_HT3!A80,Grille!C:C,Grille_HT3!B80,Grille!I:I,"Mineur")</f>
        <v>6</v>
      </c>
      <c r="H80" s="71">
        <f ca="1">SUMIFS(Grille!Q:Q,Grille!A:A,Grille_HT3!A80,Grille!C:C,Grille_HT3!B80,Grille!I:I,"Mineur")</f>
        <v>6</v>
      </c>
      <c r="I80" s="71">
        <f ca="1">SUMIFS(Grille!N:N,Grille!A:A,Grille_HT3!A80,Grille!C:C,Grille_HT3!B80,Grille!I:I,"Mineur")</f>
        <v>0</v>
      </c>
      <c r="J80" s="72">
        <f t="shared" ca="1" si="14"/>
        <v>0</v>
      </c>
      <c r="K80" s="71">
        <v>10</v>
      </c>
      <c r="L80" s="73">
        <f t="shared" ca="1" si="15"/>
        <v>0.10989010989010989</v>
      </c>
      <c r="M80" s="73">
        <f t="shared" ca="1" si="16"/>
        <v>0.12345679012345678</v>
      </c>
      <c r="N80" s="73">
        <f t="shared" ca="1" si="22"/>
        <v>0</v>
      </c>
      <c r="O80" s="73">
        <f t="shared" ca="1" si="17"/>
        <v>0</v>
      </c>
      <c r="P80" s="73">
        <f t="shared" ca="1" si="23"/>
        <v>0</v>
      </c>
      <c r="Q80" s="73">
        <f t="shared" ca="1" si="18"/>
        <v>0</v>
      </c>
      <c r="R80" s="77"/>
      <c r="S80" s="75"/>
      <c r="T80" s="75"/>
      <c r="U80" s="75"/>
      <c r="V80" s="76"/>
      <c r="W80" s="76"/>
      <c r="X80" s="76"/>
      <c r="Y80" s="134">
        <f t="shared" si="19"/>
        <v>62</v>
      </c>
    </row>
    <row r="81" spans="1:25" x14ac:dyDescent="0.3">
      <c r="A81" s="64" t="s">
        <v>757</v>
      </c>
      <c r="B81" s="64" t="s">
        <v>763</v>
      </c>
      <c r="C81" s="71">
        <f>SUMIFS(Grille!R:R,Grille!A:A,Grille_HT3!A81,Grille!C:C,Grille_HT3!B81,Grille!I:I,"Majeur")</f>
        <v>12</v>
      </c>
      <c r="D81" s="71">
        <f ca="1">SUMIFS(Grille!Q:Q,Grille!A:A,Grille_HT3!A81,Grille!C:C,Grille_HT3!B81,Grille!I:I,"Majeur")</f>
        <v>12</v>
      </c>
      <c r="E81" s="71">
        <f ca="1">SUMIFS(Grille!N:N,Grille!A:A,Grille_HT3!A81,Grille!C:C,Grille_HT3!B81,Grille!I:I,"Majeur")</f>
        <v>0</v>
      </c>
      <c r="F81" s="72">
        <f t="shared" ca="1" si="13"/>
        <v>0</v>
      </c>
      <c r="G81" s="71">
        <f>SUMIFS(Grille!R:R,Grille!A:A,Grille_HT3!A81,Grille!C:C,Grille_HT3!B81,Grille!I:I,"Mineur")</f>
        <v>2</v>
      </c>
      <c r="H81" s="71">
        <f ca="1">SUMIFS(Grille!Q:Q,Grille!A:A,Grille_HT3!A81,Grille!C:C,Grille_HT3!B81,Grille!I:I,"Mineur")</f>
        <v>2</v>
      </c>
      <c r="I81" s="71">
        <f ca="1">SUMIFS(Grille!N:N,Grille!A:A,Grille_HT3!A81,Grille!C:C,Grille_HT3!B81,Grille!I:I,"Mineur")</f>
        <v>0</v>
      </c>
      <c r="J81" s="72">
        <f t="shared" ca="1" si="14"/>
        <v>0</v>
      </c>
      <c r="K81" s="71">
        <v>11</v>
      </c>
      <c r="L81" s="73">
        <f t="shared" ca="1" si="15"/>
        <v>0.12087912087912088</v>
      </c>
      <c r="M81" s="73">
        <f t="shared" ca="1" si="16"/>
        <v>0.13580246913580246</v>
      </c>
      <c r="N81" s="73">
        <f ca="1">IF(ISNUMBER(F81),F81*L81,F81)</f>
        <v>0</v>
      </c>
      <c r="O81" s="73">
        <f t="shared" ca="1" si="17"/>
        <v>0</v>
      </c>
      <c r="P81" s="73">
        <f ca="1">IF(ISNUMBER(J81),J81*M81,J81)</f>
        <v>0</v>
      </c>
      <c r="Q81" s="73">
        <f t="shared" ca="1" si="18"/>
        <v>0</v>
      </c>
      <c r="R81" s="77"/>
      <c r="S81" s="75"/>
      <c r="T81" s="75"/>
      <c r="U81" s="75"/>
      <c r="V81" s="76"/>
      <c r="W81" s="76"/>
      <c r="X81" s="76"/>
      <c r="Y81" s="134">
        <f t="shared" si="19"/>
        <v>63</v>
      </c>
    </row>
    <row r="82" spans="1:25" x14ac:dyDescent="0.3">
      <c r="A82" s="64" t="s">
        <v>757</v>
      </c>
      <c r="B82" s="64" t="s">
        <v>765</v>
      </c>
      <c r="C82" s="71">
        <f>SUMIFS(Grille!R:R,Grille!A:A,Grille_HT3!A82,Grille!C:C,Grille_HT3!B82,Grille!I:I,"Majeur")</f>
        <v>8</v>
      </c>
      <c r="D82" s="71">
        <f ca="1">SUMIFS(Grille!Q:Q,Grille!A:A,Grille_HT3!A82,Grille!C:C,Grille_HT3!B82,Grille!I:I,"Majeur")</f>
        <v>8</v>
      </c>
      <c r="E82" s="71">
        <f ca="1">SUMIFS(Grille!N:N,Grille!A:A,Grille_HT3!A82,Grille!C:C,Grille_HT3!B82,Grille!I:I,"Majeur")</f>
        <v>0</v>
      </c>
      <c r="F82" s="72">
        <f t="shared" ca="1" si="13"/>
        <v>0</v>
      </c>
      <c r="G82" s="71">
        <f>SUMIFS(Grille!R:R,Grille!A:A,Grille_HT3!A82,Grille!C:C,Grille_HT3!B82,Grille!I:I,"Mineur")</f>
        <v>3</v>
      </c>
      <c r="H82" s="71">
        <f ca="1">SUMIFS(Grille!Q:Q,Grille!A:A,Grille_HT3!A82,Grille!C:C,Grille_HT3!B82,Grille!I:I,"Mineur")</f>
        <v>3</v>
      </c>
      <c r="I82" s="71">
        <f ca="1">SUMIFS(Grille!N:N,Grille!A:A,Grille_HT3!A82,Grille!C:C,Grille_HT3!B82,Grille!I:I,"Mineur")</f>
        <v>0</v>
      </c>
      <c r="J82" s="72">
        <f t="shared" ca="1" si="14"/>
        <v>0</v>
      </c>
      <c r="K82" s="71">
        <v>10</v>
      </c>
      <c r="L82" s="73">
        <f t="shared" ca="1" si="15"/>
        <v>0.10989010989010989</v>
      </c>
      <c r="M82" s="73">
        <f t="shared" ca="1" si="16"/>
        <v>0.12345679012345678</v>
      </c>
      <c r="N82" s="73">
        <f t="shared" ca="1" si="22"/>
        <v>0</v>
      </c>
      <c r="O82" s="73">
        <f t="shared" ca="1" si="17"/>
        <v>0</v>
      </c>
      <c r="P82" s="73">
        <f t="shared" ca="1" si="23"/>
        <v>0</v>
      </c>
      <c r="Q82" s="73">
        <f t="shared" ca="1" si="18"/>
        <v>0</v>
      </c>
      <c r="R82" s="77"/>
      <c r="S82" s="75"/>
      <c r="T82" s="75"/>
      <c r="U82" s="75"/>
      <c r="V82" s="76"/>
      <c r="W82" s="76"/>
      <c r="X82" s="76"/>
      <c r="Y82" s="134">
        <f t="shared" si="19"/>
        <v>64</v>
      </c>
    </row>
    <row r="83" spans="1:25" x14ac:dyDescent="0.3">
      <c r="A83" s="64" t="s">
        <v>757</v>
      </c>
      <c r="B83" s="64" t="s">
        <v>766</v>
      </c>
      <c r="C83" s="71">
        <f>SUMIFS(Grille!R:R,Grille!A:A,Grille_HT3!A83,Grille!C:C,Grille_HT3!B83,Grille!I:I,"Majeur")</f>
        <v>11</v>
      </c>
      <c r="D83" s="71">
        <f ca="1">SUMIFS(Grille!Q:Q,Grille!A:A,Grille_HT3!A83,Grille!C:C,Grille_HT3!B83,Grille!I:I,"Majeur")</f>
        <v>11</v>
      </c>
      <c r="E83" s="71">
        <f ca="1">SUMIFS(Grille!N:N,Grille!A:A,Grille_HT3!A83,Grille!C:C,Grille_HT3!B83,Grille!I:I,"Majeur")</f>
        <v>0</v>
      </c>
      <c r="F83" s="72">
        <f t="shared" ca="1" si="13"/>
        <v>0</v>
      </c>
      <c r="G83" s="71">
        <f>SUMIFS(Grille!R:R,Grille!A:A,Grille_HT3!A83,Grille!C:C,Grille_HT3!B83,Grille!I:I,"Mineur")</f>
        <v>4</v>
      </c>
      <c r="H83" s="71">
        <f ca="1">SUMIFS(Grille!Q:Q,Grille!A:A,Grille_HT3!A83,Grille!C:C,Grille_HT3!B83,Grille!I:I,"Mineur")</f>
        <v>4</v>
      </c>
      <c r="I83" s="71">
        <f ca="1">SUMIFS(Grille!N:N,Grille!A:A,Grille_HT3!A83,Grille!C:C,Grille_HT3!B83,Grille!I:I,"Mineur")</f>
        <v>0</v>
      </c>
      <c r="J83" s="72">
        <f t="shared" ca="1" si="14"/>
        <v>0</v>
      </c>
      <c r="K83" s="71">
        <v>20</v>
      </c>
      <c r="L83" s="73">
        <f t="shared" ca="1" si="15"/>
        <v>0.21978021978021978</v>
      </c>
      <c r="M83" s="73">
        <f t="shared" ca="1" si="16"/>
        <v>0.24691358024691357</v>
      </c>
      <c r="N83" s="73">
        <f t="shared" ca="1" si="22"/>
        <v>0</v>
      </c>
      <c r="O83" s="73">
        <f t="shared" ca="1" si="17"/>
        <v>0</v>
      </c>
      <c r="P83" s="73">
        <f t="shared" ca="1" si="23"/>
        <v>0</v>
      </c>
      <c r="Q83" s="73">
        <f t="shared" ca="1" si="18"/>
        <v>0</v>
      </c>
      <c r="R83" s="77"/>
      <c r="S83" s="75"/>
      <c r="T83" s="75"/>
      <c r="U83" s="75"/>
      <c r="V83" s="76"/>
      <c r="W83" s="76"/>
      <c r="X83" s="76"/>
      <c r="Y83" s="134">
        <f t="shared" si="19"/>
        <v>65</v>
      </c>
    </row>
    <row r="84" spans="1:25" x14ac:dyDescent="0.3">
      <c r="A84" s="4"/>
      <c r="B84" s="4" t="str">
        <f>A85</f>
        <v>Personnel</v>
      </c>
      <c r="C84" s="5"/>
      <c r="D84" s="5"/>
      <c r="E84" s="5"/>
      <c r="F84" s="5"/>
      <c r="G84" s="9"/>
      <c r="H84" s="9"/>
      <c r="I84" s="9"/>
      <c r="J84" s="6"/>
      <c r="K84" s="5"/>
      <c r="L84" s="5"/>
      <c r="M84" s="5"/>
      <c r="N84" s="6"/>
      <c r="O84" s="6"/>
      <c r="P84" s="6"/>
      <c r="Q84" s="6"/>
      <c r="R84" s="70">
        <v>2.5</v>
      </c>
      <c r="S84" s="7">
        <f t="shared" ca="1" si="20"/>
        <v>2.5000000000000001E-2</v>
      </c>
      <c r="T84" s="7">
        <f ca="1">IFERROR(S84/SUM(S:S),S84)</f>
        <v>3.2467532467532471E-2</v>
      </c>
      <c r="U84" s="7">
        <f ca="1">IFERROR(T84*O85,T84)</f>
        <v>0</v>
      </c>
      <c r="V84" s="7">
        <f t="shared" ca="1" si="21"/>
        <v>2.5000000000000001E-2</v>
      </c>
      <c r="W84" s="7">
        <f ca="1">IFERROR(V84/SUM(V:V),V84)</f>
        <v>2.717391304347826E-2</v>
      </c>
      <c r="X84" s="7">
        <f ca="1">IFERROR(W84*Q85,W84)</f>
        <v>0</v>
      </c>
    </row>
    <row r="85" spans="1:25" x14ac:dyDescent="0.3">
      <c r="A85" s="64" t="s">
        <v>767</v>
      </c>
      <c r="B85" s="64" t="s">
        <v>768</v>
      </c>
      <c r="C85" s="71">
        <f>SUMIFS(Grille!R:R,Grille!A:A,Grille_HT3!A85,Grille!C:C,Grille_HT3!B85,Grille!I:I,"Majeur")</f>
        <v>46</v>
      </c>
      <c r="D85" s="71">
        <f ca="1">SUMIFS(Grille!Q:Q,Grille!A:A,Grille_HT3!A85,Grille!C:C,Grille_HT3!B85,Grille!I:I,"Majeur")</f>
        <v>46</v>
      </c>
      <c r="E85" s="71">
        <f ca="1">SUMIFS(Grille!N:N,Grille!A:A,Grille_HT3!A85,Grille!C:C,Grille_HT3!B85,Grille!I:I,"Majeur")</f>
        <v>0</v>
      </c>
      <c r="F85" s="72">
        <f t="shared" ca="1" si="13"/>
        <v>0</v>
      </c>
      <c r="G85" s="71">
        <f>SUMIFS(Grille!R:R,Grille!A:A,Grille_HT3!A85,Grille!C:C,Grille_HT3!B85,Grille!I:I,"Mineur")</f>
        <v>4</v>
      </c>
      <c r="H85" s="71">
        <f ca="1">SUMIFS(Grille!Q:Q,Grille!A:A,Grille_HT3!A85,Grille!C:C,Grille_HT3!B85,Grille!I:I,"Mineur")</f>
        <v>4</v>
      </c>
      <c r="I85" s="71">
        <f ca="1">SUMIFS(Grille!N:N,Grille!A:A,Grille_HT3!A85,Grille!C:C,Grille_HT3!B85,Grille!I:I,"Mineur")</f>
        <v>0</v>
      </c>
      <c r="J85" s="72">
        <f t="shared" ca="1" si="14"/>
        <v>0</v>
      </c>
      <c r="K85" s="71">
        <v>60</v>
      </c>
      <c r="L85" s="73">
        <f t="shared" ca="1" si="15"/>
        <v>0.66666666666666663</v>
      </c>
      <c r="M85" s="73">
        <f t="shared" ca="1" si="16"/>
        <v>0.8571428571428571</v>
      </c>
      <c r="N85" s="73">
        <f ca="1">IF(ISNUMBER(F85),F85*L85,F85)</f>
        <v>0</v>
      </c>
      <c r="O85" s="73">
        <f t="shared" ca="1" si="17"/>
        <v>0</v>
      </c>
      <c r="P85" s="73">
        <f ca="1">IF(ISNUMBER(J85),J85*M85,J85)</f>
        <v>0</v>
      </c>
      <c r="Q85" s="73">
        <f t="shared" ca="1" si="18"/>
        <v>0</v>
      </c>
      <c r="R85" s="77"/>
      <c r="S85" s="75"/>
      <c r="T85" s="75"/>
      <c r="U85" s="75"/>
      <c r="V85" s="76"/>
      <c r="W85" s="76"/>
      <c r="X85" s="76"/>
      <c r="Y85" s="134">
        <f>Y83+1</f>
        <v>66</v>
      </c>
    </row>
    <row r="86" spans="1:25" x14ac:dyDescent="0.3">
      <c r="A86" s="64" t="s">
        <v>767</v>
      </c>
      <c r="B86" s="64" t="s">
        <v>770</v>
      </c>
      <c r="C86" s="71">
        <f>SUMIFS(Grille!R:R,Grille!A:A,Grille_HT3!A86,Grille!C:C,Grille_HT3!B86,Grille!I:I,"Majeur")</f>
        <v>20</v>
      </c>
      <c r="D86" s="71">
        <f ca="1">SUMIFS(Grille!Q:Q,Grille!A:A,Grille_HT3!A86,Grille!C:C,Grille_HT3!B86,Grille!I:I,"Majeur")</f>
        <v>20</v>
      </c>
      <c r="E86" s="71">
        <f ca="1">SUMIFS(Grille!N:N,Grille!A:A,Grille_HT3!A86,Grille!C:C,Grille_HT3!B86,Grille!I:I,"Majeur")</f>
        <v>0</v>
      </c>
      <c r="F86" s="72">
        <f t="shared" ca="1" si="13"/>
        <v>0</v>
      </c>
      <c r="G86" s="71">
        <f>SUMIFS(Grille!R:R,Grille!A:A,Grille_HT3!A86,Grille!C:C,Grille_HT3!B86,Grille!I:I,"Mineur")</f>
        <v>0</v>
      </c>
      <c r="H86" s="71">
        <f>SUMIFS(Grille!Q:Q,Grille!A:A,Grille_HT3!A86,Grille!C:C,Grille_HT3!B86,Grille!I:I,"Mineur")</f>
        <v>0</v>
      </c>
      <c r="I86" s="71">
        <f>SUMIFS(Grille!N:N,Grille!A:A,Grille_HT3!A86,Grille!C:C,Grille_HT3!B86,Grille!I:I,"Mineur")</f>
        <v>0</v>
      </c>
      <c r="J86" s="72" t="str">
        <f t="shared" si="14"/>
        <v>Non appliqué</v>
      </c>
      <c r="K86" s="71">
        <v>30</v>
      </c>
      <c r="L86" s="73">
        <f t="shared" ca="1" si="15"/>
        <v>0.33333333333333331</v>
      </c>
      <c r="M86" s="73" t="str">
        <f t="shared" si="16"/>
        <v>Non appliqué</v>
      </c>
      <c r="N86" s="73">
        <f ca="1">IF(ISNUMBER(F86),F86*L86,F86)</f>
        <v>0</v>
      </c>
      <c r="O86" s="73">
        <f t="shared" ca="1" si="17"/>
        <v>0</v>
      </c>
      <c r="P86" s="73" t="str">
        <f>IF(ISNUMBER(J86),J86*M86,J86)</f>
        <v>Non appliqué</v>
      </c>
      <c r="Q86" s="73">
        <f t="shared" ca="1" si="18"/>
        <v>0</v>
      </c>
      <c r="R86" s="77"/>
      <c r="S86" s="75"/>
      <c r="T86" s="75"/>
      <c r="U86" s="75"/>
      <c r="V86" s="76"/>
      <c r="W86" s="76"/>
      <c r="X86" s="76"/>
      <c r="Y86" s="134">
        <f t="shared" si="19"/>
        <v>67</v>
      </c>
    </row>
    <row r="87" spans="1:25" ht="25.2" x14ac:dyDescent="0.3">
      <c r="A87" s="64" t="s">
        <v>767</v>
      </c>
      <c r="B87" s="64" t="s">
        <v>772</v>
      </c>
      <c r="C87" s="71">
        <f>SUMIFS(Grille!R:R,Grille!A:A,Grille_HT3!A87,Grille!C:C,Grille_HT3!B87,Grille!I:I,"Majeur")</f>
        <v>0</v>
      </c>
      <c r="D87" s="71">
        <f>SUMIFS(Grille!Q:Q,Grille!A:A,Grille_HT3!A87,Grille!C:C,Grille_HT3!B87,Grille!I:I,"Majeur")</f>
        <v>0</v>
      </c>
      <c r="E87" s="71">
        <f>SUMIFS(Grille!N:N,Grille!A:A,Grille_HT3!A87,Grille!C:C,Grille_HT3!B87,Grille!I:I,"Majeur")</f>
        <v>0</v>
      </c>
      <c r="F87" s="72" t="str">
        <f t="shared" si="13"/>
        <v>Non appliqué</v>
      </c>
      <c r="G87" s="71">
        <f>SUMIFS(Grille!R:R,Grille!A:A,Grille_HT3!A87,Grille!C:C,Grille_HT3!B87,Grille!I:I,"Mineur")</f>
        <v>3</v>
      </c>
      <c r="H87" s="71">
        <f ca="1">SUMIFS(Grille!Q:Q,Grille!A:A,Grille_HT3!A87,Grille!C:C,Grille_HT3!B87,Grille!I:I,"Mineur")</f>
        <v>3</v>
      </c>
      <c r="I87" s="71">
        <f ca="1">SUMIFS(Grille!N:N,Grille!A:A,Grille_HT3!A87,Grille!C:C,Grille_HT3!B87,Grille!I:I,"Mineur")</f>
        <v>0</v>
      </c>
      <c r="J87" s="72">
        <f t="shared" ca="1" si="14"/>
        <v>0</v>
      </c>
      <c r="K87" s="71">
        <v>10</v>
      </c>
      <c r="L87" s="73" t="str">
        <f t="shared" si="15"/>
        <v>Non appliqué</v>
      </c>
      <c r="M87" s="73">
        <f t="shared" ca="1" si="16"/>
        <v>0.14285714285714285</v>
      </c>
      <c r="N87" s="73" t="str">
        <f>IF(ISNUMBER(F87),F87*L87,F87)</f>
        <v>Non appliqué</v>
      </c>
      <c r="O87" s="73">
        <f t="shared" ca="1" si="17"/>
        <v>0</v>
      </c>
      <c r="P87" s="73">
        <f ca="1">IF(ISNUMBER(J87),J87*M87,J87)</f>
        <v>0</v>
      </c>
      <c r="Q87" s="73">
        <f t="shared" ca="1" si="18"/>
        <v>0</v>
      </c>
      <c r="R87" s="77"/>
      <c r="S87" s="75"/>
      <c r="T87" s="75"/>
      <c r="U87" s="75"/>
      <c r="V87" s="76"/>
      <c r="W87" s="76"/>
      <c r="X87" s="76"/>
      <c r="Y87" s="134">
        <f t="shared" si="19"/>
        <v>68</v>
      </c>
    </row>
    <row r="88" spans="1:25" ht="25.2" x14ac:dyDescent="0.3">
      <c r="A88" s="4"/>
      <c r="B88" s="4" t="str">
        <f>A89</f>
        <v>Electricité, eau et assainissement</v>
      </c>
      <c r="C88" s="5"/>
      <c r="D88" s="5"/>
      <c r="E88" s="5"/>
      <c r="F88" s="5"/>
      <c r="G88" s="9"/>
      <c r="H88" s="9"/>
      <c r="I88" s="9"/>
      <c r="J88" s="6"/>
      <c r="K88" s="5"/>
      <c r="L88" s="5"/>
      <c r="M88" s="5"/>
      <c r="N88" s="6"/>
      <c r="O88" s="6"/>
      <c r="P88" s="6"/>
      <c r="Q88" s="6"/>
      <c r="R88" s="70">
        <v>2.5</v>
      </c>
      <c r="S88" s="7">
        <f t="shared" ca="1" si="20"/>
        <v>2.5000000000000001E-2</v>
      </c>
      <c r="T88" s="7">
        <f ca="1">IFERROR(S88/SUM(S:S),S88)</f>
        <v>3.2467532467532471E-2</v>
      </c>
      <c r="U88" s="7">
        <f ca="1">IFERROR(T88*O89,T88)</f>
        <v>0</v>
      </c>
      <c r="V88" s="7">
        <f t="shared" ca="1" si="21"/>
        <v>2.5000000000000001E-2</v>
      </c>
      <c r="W88" s="7">
        <f ca="1">IFERROR(V88/SUM(V:V),V88)</f>
        <v>2.717391304347826E-2</v>
      </c>
      <c r="X88" s="7">
        <f ca="1">IFERROR(W88*Q89,W88)</f>
        <v>0</v>
      </c>
    </row>
    <row r="89" spans="1:25" ht="25.2" x14ac:dyDescent="0.3">
      <c r="A89" s="64" t="s">
        <v>773</v>
      </c>
      <c r="B89" s="64" t="s">
        <v>775</v>
      </c>
      <c r="C89" s="71">
        <f>SUMIFS(Grille!R:R,Grille!A:A,Grille_HT3!A89,Grille!C:C,Grille_HT3!B89,Grille!I:I,"Majeur")</f>
        <v>4</v>
      </c>
      <c r="D89" s="71">
        <f ca="1">SUMIFS(Grille!Q:Q,Grille!A:A,Grille_HT3!A89,Grille!C:C,Grille_HT3!B89,Grille!I:I,"Majeur")</f>
        <v>4</v>
      </c>
      <c r="E89" s="71">
        <f ca="1">SUMIFS(Grille!N:N,Grille!A:A,Grille_HT3!A89,Grille!C:C,Grille_HT3!B89,Grille!I:I,"Majeur")</f>
        <v>0</v>
      </c>
      <c r="F89" s="72">
        <f t="shared" ca="1" si="13"/>
        <v>0</v>
      </c>
      <c r="G89" s="71">
        <f>SUMIFS(Grille!R:R,Grille!A:A,Grille_HT3!A89,Grille!C:C,Grille_HT3!B89,Grille!I:I,"Mineur")</f>
        <v>5</v>
      </c>
      <c r="H89" s="71">
        <f ca="1">SUMIFS(Grille!Q:Q,Grille!A:A,Grille_HT3!A89,Grille!C:C,Grille_HT3!B89,Grille!I:I,"Mineur")</f>
        <v>5</v>
      </c>
      <c r="I89" s="71">
        <f ca="1">SUMIFS(Grille!N:N,Grille!A:A,Grille_HT3!A89,Grille!C:C,Grille_HT3!B89,Grille!I:I,"Mineur")</f>
        <v>0</v>
      </c>
      <c r="J89" s="72">
        <f t="shared" ca="1" si="14"/>
        <v>0</v>
      </c>
      <c r="K89" s="71">
        <v>30</v>
      </c>
      <c r="L89" s="73">
        <f t="shared" ca="1" si="15"/>
        <v>0.3</v>
      </c>
      <c r="M89" s="73">
        <f t="shared" ca="1" si="16"/>
        <v>0.3</v>
      </c>
      <c r="N89" s="73">
        <f ca="1">IF(ISNUMBER(F89),F89*L89,F89)</f>
        <v>0</v>
      </c>
      <c r="O89" s="73">
        <f t="shared" ca="1" si="17"/>
        <v>0</v>
      </c>
      <c r="P89" s="73">
        <f ca="1">IF(ISNUMBER(J89),J89*M89,J89)</f>
        <v>0</v>
      </c>
      <c r="Q89" s="73">
        <f t="shared" ca="1" si="18"/>
        <v>0</v>
      </c>
      <c r="R89" s="77"/>
      <c r="S89" s="75"/>
      <c r="T89" s="75"/>
      <c r="U89" s="75"/>
      <c r="V89" s="76"/>
      <c r="W89" s="76"/>
      <c r="X89" s="76"/>
      <c r="Y89" s="134">
        <f>Y87+1</f>
        <v>69</v>
      </c>
    </row>
    <row r="90" spans="1:25" ht="25.2" x14ac:dyDescent="0.3">
      <c r="A90" s="64" t="s">
        <v>773</v>
      </c>
      <c r="B90" s="64" t="s">
        <v>776</v>
      </c>
      <c r="C90" s="71">
        <f>SUMIFS(Grille!R:R,Grille!A:A,Grille_HT3!A90,Grille!C:C,Grille_HT3!B90,Grille!I:I,"Majeur")</f>
        <v>8</v>
      </c>
      <c r="D90" s="71">
        <f ca="1">SUMIFS(Grille!Q:Q,Grille!A:A,Grille_HT3!A90,Grille!C:C,Grille_HT3!B90,Grille!I:I,"Majeur")</f>
        <v>8</v>
      </c>
      <c r="E90" s="71">
        <f ca="1">SUMIFS(Grille!N:N,Grille!A:A,Grille_HT3!A90,Grille!C:C,Grille_HT3!B90,Grille!I:I,"Majeur")</f>
        <v>0</v>
      </c>
      <c r="F90" s="72">
        <f t="shared" ca="1" si="13"/>
        <v>0</v>
      </c>
      <c r="G90" s="71">
        <f>SUMIFS(Grille!R:R,Grille!A:A,Grille_HT3!A90,Grille!C:C,Grille_HT3!B90,Grille!I:I,"Mineur")</f>
        <v>2</v>
      </c>
      <c r="H90" s="71">
        <f ca="1">SUMIFS(Grille!Q:Q,Grille!A:A,Grille_HT3!A90,Grille!C:C,Grille_HT3!B90,Grille!I:I,"Mineur")</f>
        <v>2</v>
      </c>
      <c r="I90" s="71">
        <f ca="1">SUMIFS(Grille!N:N,Grille!A:A,Grille_HT3!A90,Grille!C:C,Grille_HT3!B90,Grille!I:I,"Mineur")</f>
        <v>0</v>
      </c>
      <c r="J90" s="72">
        <f t="shared" ca="1" si="14"/>
        <v>0</v>
      </c>
      <c r="K90" s="71">
        <v>30</v>
      </c>
      <c r="L90" s="73">
        <f t="shared" ca="1" si="15"/>
        <v>0.3</v>
      </c>
      <c r="M90" s="73">
        <f t="shared" ca="1" si="16"/>
        <v>0.3</v>
      </c>
      <c r="N90" s="73">
        <f ca="1">IF(ISNUMBER(F90),F90*L90,F90)</f>
        <v>0</v>
      </c>
      <c r="O90" s="73">
        <f t="shared" ca="1" si="17"/>
        <v>0</v>
      </c>
      <c r="P90" s="73">
        <f ca="1">IF(ISNUMBER(J90),J90*M90,J90)</f>
        <v>0</v>
      </c>
      <c r="Q90" s="73">
        <f t="shared" ca="1" si="18"/>
        <v>0</v>
      </c>
      <c r="R90" s="77"/>
      <c r="S90" s="75"/>
      <c r="T90" s="75"/>
      <c r="U90" s="75"/>
      <c r="V90" s="76"/>
      <c r="W90" s="76"/>
      <c r="X90" s="76"/>
      <c r="Y90" s="134">
        <f t="shared" si="19"/>
        <v>70</v>
      </c>
    </row>
    <row r="91" spans="1:25" ht="25.2" x14ac:dyDescent="0.3">
      <c r="A91" s="64" t="s">
        <v>773</v>
      </c>
      <c r="B91" s="64" t="s">
        <v>777</v>
      </c>
      <c r="C91" s="71">
        <f>SUMIFS(Grille!R:R,Grille!A:A,Grille_HT3!A91,Grille!C:C,Grille_HT3!B91,Grille!I:I,"Majeur")</f>
        <v>6</v>
      </c>
      <c r="D91" s="71">
        <f ca="1">SUMIFS(Grille!Q:Q,Grille!A:A,Grille_HT3!A91,Grille!C:C,Grille_HT3!B91,Grille!I:I,"Majeur")</f>
        <v>6</v>
      </c>
      <c r="E91" s="71">
        <f ca="1">SUMIFS(Grille!N:N,Grille!A:A,Grille_HT3!A91,Grille!C:C,Grille_HT3!B91,Grille!I:I,"Majeur")</f>
        <v>0</v>
      </c>
      <c r="F91" s="72">
        <f t="shared" ca="1" si="13"/>
        <v>0</v>
      </c>
      <c r="G91" s="71">
        <f>SUMIFS(Grille!R:R,Grille!A:A,Grille_HT3!A91,Grille!C:C,Grille_HT3!B91,Grille!I:I,"Mineur")</f>
        <v>1</v>
      </c>
      <c r="H91" s="71">
        <f ca="1">SUMIFS(Grille!Q:Q,Grille!A:A,Grille_HT3!A91,Grille!C:C,Grille_HT3!B91,Grille!I:I,"Mineur")</f>
        <v>1</v>
      </c>
      <c r="I91" s="71">
        <f ca="1">SUMIFS(Grille!N:N,Grille!A:A,Grille_HT3!A91,Grille!C:C,Grille_HT3!B91,Grille!I:I,"Mineur")</f>
        <v>0</v>
      </c>
      <c r="J91" s="72">
        <f t="shared" ca="1" si="14"/>
        <v>0</v>
      </c>
      <c r="K91" s="71">
        <v>40</v>
      </c>
      <c r="L91" s="73">
        <f t="shared" ca="1" si="15"/>
        <v>0.4</v>
      </c>
      <c r="M91" s="73">
        <f t="shared" ca="1" si="16"/>
        <v>0.4</v>
      </c>
      <c r="N91" s="73">
        <f ca="1">IF(ISNUMBER(F91),F91*L91,F91)</f>
        <v>0</v>
      </c>
      <c r="O91" s="73">
        <f t="shared" ca="1" si="17"/>
        <v>0</v>
      </c>
      <c r="P91" s="73">
        <f ca="1">IF(ISNUMBER(J91),J91*M91,J91)</f>
        <v>0</v>
      </c>
      <c r="Q91" s="73">
        <f t="shared" ca="1" si="18"/>
        <v>0</v>
      </c>
      <c r="R91" s="77"/>
      <c r="S91" s="75"/>
      <c r="T91" s="75"/>
      <c r="U91" s="75"/>
      <c r="V91" s="76"/>
      <c r="W91" s="76"/>
      <c r="X91" s="76"/>
      <c r="Y91" s="134">
        <f t="shared" si="19"/>
        <v>71</v>
      </c>
    </row>
    <row r="156" spans="1:1" x14ac:dyDescent="0.3">
      <c r="A156" s="8" t="s">
        <v>654</v>
      </c>
    </row>
    <row r="157" spans="1:1" x14ac:dyDescent="0.3">
      <c r="A157" s="8" t="s">
        <v>657</v>
      </c>
    </row>
    <row r="158" spans="1:1" x14ac:dyDescent="0.3">
      <c r="A158" s="8" t="s">
        <v>658</v>
      </c>
    </row>
    <row r="159" spans="1:1" x14ac:dyDescent="0.3">
      <c r="A159" s="8" t="s">
        <v>661</v>
      </c>
    </row>
    <row r="160" spans="1:1" x14ac:dyDescent="0.3">
      <c r="A160" s="8" t="s">
        <v>662</v>
      </c>
    </row>
    <row r="161" spans="1:1" x14ac:dyDescent="0.3">
      <c r="A161" s="8" t="s">
        <v>664</v>
      </c>
    </row>
    <row r="162" spans="1:1" x14ac:dyDescent="0.3">
      <c r="A162" s="8" t="s">
        <v>667</v>
      </c>
    </row>
    <row r="163" spans="1:1" x14ac:dyDescent="0.3">
      <c r="A163" s="8" t="s">
        <v>668</v>
      </c>
    </row>
    <row r="164" spans="1:1" x14ac:dyDescent="0.3">
      <c r="A164" s="8" t="s">
        <v>671</v>
      </c>
    </row>
    <row r="165" spans="1:1" x14ac:dyDescent="0.3">
      <c r="A165" s="8" t="s">
        <v>673</v>
      </c>
    </row>
    <row r="166" spans="1:1" x14ac:dyDescent="0.3">
      <c r="A166" s="8" t="s">
        <v>675</v>
      </c>
    </row>
    <row r="167" spans="1:1" x14ac:dyDescent="0.3">
      <c r="A167" s="8" t="s">
        <v>677</v>
      </c>
    </row>
    <row r="168" spans="1:1" x14ac:dyDescent="0.3">
      <c r="A168" s="8" t="s">
        <v>678</v>
      </c>
    </row>
    <row r="169" spans="1:1" x14ac:dyDescent="0.3">
      <c r="A169" s="8" t="s">
        <v>682</v>
      </c>
    </row>
    <row r="170" spans="1:1" x14ac:dyDescent="0.3">
      <c r="A170" s="8" t="s">
        <v>685</v>
      </c>
    </row>
    <row r="171" spans="1:1" x14ac:dyDescent="0.3">
      <c r="A171" s="8" t="s">
        <v>701</v>
      </c>
    </row>
    <row r="172" spans="1:1" x14ac:dyDescent="0.3">
      <c r="A172" s="8" t="s">
        <v>702</v>
      </c>
    </row>
    <row r="173" spans="1:1" x14ac:dyDescent="0.3">
      <c r="A173" s="8" t="s">
        <v>703</v>
      </c>
    </row>
    <row r="174" spans="1:1" x14ac:dyDescent="0.3">
      <c r="A174" s="8" t="s">
        <v>706</v>
      </c>
    </row>
    <row r="175" spans="1:1" x14ac:dyDescent="0.3">
      <c r="A175" s="8" t="s">
        <v>707</v>
      </c>
    </row>
    <row r="176" spans="1:1" x14ac:dyDescent="0.3">
      <c r="A176" s="8" t="s">
        <v>709</v>
      </c>
    </row>
    <row r="177" spans="1:1" x14ac:dyDescent="0.3">
      <c r="A177" s="8" t="s">
        <v>710</v>
      </c>
    </row>
    <row r="178" spans="1:1" x14ac:dyDescent="0.3">
      <c r="A178" s="8" t="s">
        <v>712</v>
      </c>
    </row>
    <row r="179" spans="1:1" x14ac:dyDescent="0.3">
      <c r="A179" s="8" t="s">
        <v>715</v>
      </c>
    </row>
    <row r="180" spans="1:1" x14ac:dyDescent="0.3">
      <c r="A180" s="8" t="s">
        <v>717</v>
      </c>
    </row>
    <row r="181" spans="1:1" x14ac:dyDescent="0.3">
      <c r="A181" s="8" t="s">
        <v>718</v>
      </c>
    </row>
    <row r="182" spans="1:1" x14ac:dyDescent="0.3">
      <c r="A182" s="8" t="s">
        <v>720</v>
      </c>
    </row>
    <row r="183" spans="1:1" x14ac:dyDescent="0.3">
      <c r="A183" s="8" t="s">
        <v>722</v>
      </c>
    </row>
    <row r="184" spans="1:1" x14ac:dyDescent="0.3">
      <c r="A184" s="8" t="s">
        <v>724</v>
      </c>
    </row>
    <row r="185" spans="1:1" x14ac:dyDescent="0.3">
      <c r="A185" s="8" t="s">
        <v>725</v>
      </c>
    </row>
    <row r="186" spans="1:1" x14ac:dyDescent="0.3">
      <c r="A186" s="8" t="s">
        <v>729</v>
      </c>
    </row>
    <row r="187" spans="1:1" x14ac:dyDescent="0.3">
      <c r="A187" s="8" t="s">
        <v>733</v>
      </c>
    </row>
    <row r="188" spans="1:1" x14ac:dyDescent="0.3">
      <c r="A188" s="8" t="s">
        <v>734</v>
      </c>
    </row>
    <row r="189" spans="1:1" x14ac:dyDescent="0.3">
      <c r="A189" s="8" t="s">
        <v>735</v>
      </c>
    </row>
    <row r="190" spans="1:1" x14ac:dyDescent="0.3">
      <c r="A190" s="8" t="s">
        <v>736</v>
      </c>
    </row>
    <row r="191" spans="1:1" x14ac:dyDescent="0.3">
      <c r="A191" s="8" t="s">
        <v>737</v>
      </c>
    </row>
    <row r="192" spans="1:1" x14ac:dyDescent="0.3">
      <c r="A192" s="8" t="s">
        <v>738</v>
      </c>
    </row>
    <row r="193" spans="1:1" x14ac:dyDescent="0.3">
      <c r="A193" s="8" t="s">
        <v>742</v>
      </c>
    </row>
    <row r="194" spans="1:1" x14ac:dyDescent="0.3">
      <c r="A194" s="8" t="s">
        <v>743</v>
      </c>
    </row>
    <row r="195" spans="1:1" x14ac:dyDescent="0.3">
      <c r="A195" s="8" t="s">
        <v>746</v>
      </c>
    </row>
    <row r="196" spans="1:1" x14ac:dyDescent="0.3">
      <c r="A196" s="8" t="s">
        <v>747</v>
      </c>
    </row>
    <row r="197" spans="1:1" x14ac:dyDescent="0.3">
      <c r="A197" s="8" t="s">
        <v>748</v>
      </c>
    </row>
    <row r="198" spans="1:1" x14ac:dyDescent="0.3">
      <c r="A198" s="8" t="s">
        <v>751</v>
      </c>
    </row>
    <row r="199" spans="1:1" x14ac:dyDescent="0.3">
      <c r="A199" s="8" t="s">
        <v>752</v>
      </c>
    </row>
    <row r="200" spans="1:1" x14ac:dyDescent="0.3">
      <c r="A200" s="8" t="s">
        <v>753</v>
      </c>
    </row>
    <row r="201" spans="1:1" x14ac:dyDescent="0.3">
      <c r="A201" s="8" t="s">
        <v>755</v>
      </c>
    </row>
    <row r="202" spans="1:1" x14ac:dyDescent="0.3">
      <c r="A202" s="8" t="s">
        <v>756</v>
      </c>
    </row>
    <row r="203" spans="1:1" x14ac:dyDescent="0.3">
      <c r="A203" s="8" t="s">
        <v>759</v>
      </c>
    </row>
    <row r="204" spans="1:1" x14ac:dyDescent="0.3">
      <c r="A204" s="8" t="s">
        <v>761</v>
      </c>
    </row>
    <row r="205" spans="1:1" x14ac:dyDescent="0.3">
      <c r="A205" s="8" t="s">
        <v>762</v>
      </c>
    </row>
    <row r="206" spans="1:1" x14ac:dyDescent="0.3">
      <c r="A206" s="8" t="s">
        <v>763</v>
      </c>
    </row>
    <row r="207" spans="1:1" x14ac:dyDescent="0.3">
      <c r="A207" s="8" t="s">
        <v>765</v>
      </c>
    </row>
    <row r="208" spans="1:1" x14ac:dyDescent="0.3">
      <c r="A208" s="8" t="s">
        <v>766</v>
      </c>
    </row>
    <row r="209" spans="1:1" x14ac:dyDescent="0.3">
      <c r="A209" s="8" t="s">
        <v>768</v>
      </c>
    </row>
    <row r="210" spans="1:1" x14ac:dyDescent="0.3">
      <c r="A210" s="8" t="s">
        <v>770</v>
      </c>
    </row>
    <row r="211" spans="1:1" x14ac:dyDescent="0.3">
      <c r="A211" s="8" t="s">
        <v>772</v>
      </c>
    </row>
    <row r="212" spans="1:1" x14ac:dyDescent="0.3">
      <c r="A212" s="8" t="s">
        <v>775</v>
      </c>
    </row>
    <row r="213" spans="1:1" x14ac:dyDescent="0.3">
      <c r="A213" s="8" t="s">
        <v>776</v>
      </c>
    </row>
    <row r="214" spans="1:1" x14ac:dyDescent="0.3">
      <c r="A214" s="8" t="s">
        <v>777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2363-30A3-44CB-AF21-F3308CCAF7FC}">
  <sheetPr codeName="Feuil41"/>
  <dimension ref="A1:Y214"/>
  <sheetViews>
    <sheetView showGridLines="0" topLeftCell="N1" zoomScale="90" zoomScaleNormal="90" workbookViewId="0">
      <selection activeCell="F5" sqref="F5"/>
    </sheetView>
  </sheetViews>
  <sheetFormatPr baseColWidth="10" defaultColWidth="11.6640625" defaultRowHeight="12.6" x14ac:dyDescent="0.3"/>
  <cols>
    <col min="1" max="2" width="31.109375" style="8" customWidth="1"/>
    <col min="3" max="3" width="14.77734375" style="10" customWidth="1"/>
    <col min="4" max="5" width="11.6640625" style="10" customWidth="1"/>
    <col min="6" max="6" width="14.109375" style="11" bestFit="1" customWidth="1"/>
    <col min="7" max="9" width="11.6640625" style="10" customWidth="1"/>
    <col min="10" max="10" width="14.109375" style="10" bestFit="1" customWidth="1"/>
    <col min="11" max="11" width="15.109375" style="10" customWidth="1"/>
    <col min="12" max="12" width="20" style="10" customWidth="1"/>
    <col min="13" max="13" width="14.109375" style="8" bestFit="1" customWidth="1"/>
    <col min="14" max="15" width="12.6640625" style="12" bestFit="1" customWidth="1"/>
    <col min="16" max="17" width="14.109375" style="12" bestFit="1" customWidth="1"/>
    <col min="18" max="18" width="11.109375" style="13" customWidth="1"/>
    <col min="19" max="21" width="14.77734375" style="14" bestFit="1" customWidth="1"/>
    <col min="22" max="23" width="14.77734375" style="78" bestFit="1" customWidth="1"/>
    <col min="24" max="24" width="12.77734375" style="78" bestFit="1" customWidth="1"/>
    <col min="25" max="25" width="11.6640625" style="134"/>
    <col min="26" max="16384" width="11.6640625" style="8"/>
  </cols>
  <sheetData>
    <row r="1" spans="1:25" s="69" customFormat="1" ht="50.4" x14ac:dyDescent="0.3">
      <c r="A1" s="64" t="s">
        <v>778</v>
      </c>
      <c r="B1" s="64" t="s">
        <v>779</v>
      </c>
      <c r="C1" s="65" t="s">
        <v>780</v>
      </c>
      <c r="D1" s="65" t="s">
        <v>781</v>
      </c>
      <c r="E1" s="65" t="s">
        <v>782</v>
      </c>
      <c r="F1" s="66" t="s">
        <v>783</v>
      </c>
      <c r="G1" s="65" t="s">
        <v>784</v>
      </c>
      <c r="H1" s="65" t="s">
        <v>785</v>
      </c>
      <c r="I1" s="65" t="s">
        <v>782</v>
      </c>
      <c r="J1" s="65" t="s">
        <v>786</v>
      </c>
      <c r="K1" s="65" t="s">
        <v>787</v>
      </c>
      <c r="L1" s="65" t="s">
        <v>788</v>
      </c>
      <c r="M1" s="65" t="s">
        <v>789</v>
      </c>
      <c r="N1" s="66" t="s">
        <v>790</v>
      </c>
      <c r="O1" s="66" t="s">
        <v>791</v>
      </c>
      <c r="P1" s="66" t="s">
        <v>792</v>
      </c>
      <c r="Q1" s="66" t="s">
        <v>793</v>
      </c>
      <c r="R1" s="67" t="s">
        <v>794</v>
      </c>
      <c r="S1" s="68" t="s">
        <v>795</v>
      </c>
      <c r="T1" s="68" t="s">
        <v>796</v>
      </c>
      <c r="U1" s="68" t="s">
        <v>797</v>
      </c>
      <c r="V1" s="68" t="s">
        <v>798</v>
      </c>
      <c r="W1" s="68" t="s">
        <v>799</v>
      </c>
      <c r="X1" s="68" t="s">
        <v>800</v>
      </c>
      <c r="Y1" s="135"/>
    </row>
    <row r="2" spans="1:25" s="69" customFormat="1" x14ac:dyDescent="0.3">
      <c r="A2" s="4"/>
      <c r="B2" s="4" t="s">
        <v>646</v>
      </c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6"/>
      <c r="O2" s="6"/>
      <c r="P2" s="6"/>
      <c r="Q2" s="6"/>
      <c r="R2" s="70">
        <v>1</v>
      </c>
      <c r="S2" s="7">
        <f ca="1">IF(SUMIF($A:$A,$A3,O:O)&gt;0,R2/SUM($R:$R),O3)</f>
        <v>0</v>
      </c>
      <c r="T2" s="7">
        <f ca="1">IFERROR(S2/SUM(S:S),S2)</f>
        <v>0</v>
      </c>
      <c r="U2" s="7">
        <f ca="1">IFERROR(O3*T2,O3)</f>
        <v>0</v>
      </c>
      <c r="V2" s="7">
        <f ca="1">IF(SUMIF($A:$A,$A3,Q:Q)&gt;0,R2/SUM(R:R),Q3)</f>
        <v>0</v>
      </c>
      <c r="W2" s="7">
        <f ca="1">IFERROR(V2/SUM(V:V),V2)</f>
        <v>0</v>
      </c>
      <c r="X2" s="7">
        <f ca="1">IFERROR(W2*Q3,W2)</f>
        <v>0</v>
      </c>
      <c r="Y2" s="135"/>
    </row>
    <row r="3" spans="1:25" x14ac:dyDescent="0.3">
      <c r="A3" s="64" t="s">
        <v>646</v>
      </c>
      <c r="B3" s="64" t="s">
        <v>648</v>
      </c>
      <c r="C3" s="71">
        <f>SUMIFS(Grille!R:R,Grille!A:A,Grille_HT2!A3,Grille!C:C,Grille_HT2!B3,Grille!J:J,"Majeur")</f>
        <v>0</v>
      </c>
      <c r="D3" s="71">
        <f>SUMIFS(Grille!Q:Q,Grille!A:A,Grille_HT2!A3,Grille!C:C,Grille_HT2!B3,Grille!J:J,"Majeur")</f>
        <v>0</v>
      </c>
      <c r="E3" s="71">
        <f>SUMIFS(Grille!N:N,Grille!A:A,Grille_HT2!A3,Grille!C:C,Grille_HT2!B3,Grille!J:J,"Majeur")</f>
        <v>0</v>
      </c>
      <c r="F3" s="72" t="str">
        <f>IF(C3=0,"Non appliqué",IF(D3=0,"Non concerné",E3/D3))</f>
        <v>Non appliqué</v>
      </c>
      <c r="G3" s="71">
        <f>SUMIFS(Grille!R:R,Grille!A:A,Grille_HT2!A3,Grille!C:C,Grille_HT2!B3,Grille!J:J,"Mineur")</f>
        <v>3</v>
      </c>
      <c r="H3" s="71">
        <f ca="1">SUMIFS(Grille!Q:Q,Grille!A:A,Grille_HT2!A3,Grille!C:C,Grille_HT2!B3,Grille!J:J,"Mineur")</f>
        <v>3</v>
      </c>
      <c r="I3" s="71">
        <f ca="1">SUMIFS(Grille!N:N,Grille!A:A,Grille_HT2!A3,Grille!C:C,Grille_HT2!B3,Grille!J:J,"Mineur")</f>
        <v>0</v>
      </c>
      <c r="J3" s="72">
        <f ca="1">IF(G3=0,"Non appliqué",IF(H3=0,"Non concerné",I3/H3))</f>
        <v>0</v>
      </c>
      <c r="K3" s="71">
        <v>40</v>
      </c>
      <c r="L3" s="73" t="str">
        <f>IF(D3&gt;0,K3/SUMIFS(K:K,A:A,A3,D:D,"&gt;0"),F3)</f>
        <v>Non appliqué</v>
      </c>
      <c r="M3" s="73">
        <f ca="1">IF(H3&gt;0,K3/SUMIFS(K:K,A:A,A3,H:H,"&gt;0"),J3)</f>
        <v>0.4</v>
      </c>
      <c r="N3" s="73" t="str">
        <f>IF(ISNUMBER(F3),F3*L3,F3)</f>
        <v>Non appliqué</v>
      </c>
      <c r="O3" s="73">
        <f ca="1">IF(SUMIFS(C:C,A:A,A3)=0,"Non appliqué",IF(SUMIFS(D:D,A:A,A3)&gt;=0,SUMIFS(N:N,A:A,A3),"Non concerné"))</f>
        <v>0</v>
      </c>
      <c r="P3" s="73">
        <f ca="1">IF(ISNUMBER(J3),J3*M3,J3)</f>
        <v>0</v>
      </c>
      <c r="Q3" s="73">
        <f ca="1">IF(SUMIFS(G:G,A:A,A3)=0,"Non appliqué",IF(SUMIFS(H:H,A:A,A3)&gt;=0,SUMIFS(P:P,A:A,A3),"Non concerné"))</f>
        <v>0</v>
      </c>
      <c r="R3" s="74"/>
      <c r="S3" s="75"/>
      <c r="T3" s="75"/>
      <c r="U3" s="75"/>
      <c r="V3" s="76"/>
      <c r="W3" s="76"/>
      <c r="X3" s="76"/>
      <c r="Y3" s="134">
        <v>1</v>
      </c>
    </row>
    <row r="4" spans="1:25" x14ac:dyDescent="0.3">
      <c r="A4" s="64" t="s">
        <v>646</v>
      </c>
      <c r="B4" s="64" t="s">
        <v>652</v>
      </c>
      <c r="C4" s="71">
        <f>SUMIFS(Grille!R:R,Grille!A:A,Grille_HT2!A4,Grille!C:C,Grille_HT2!B4,Grille!J:J,"Majeur")</f>
        <v>2</v>
      </c>
      <c r="D4" s="71">
        <f ca="1">SUMIFS(Grille!Q:Q,Grille!A:A,Grille_HT2!A4,Grille!C:C,Grille_HT2!B4,Grille!J:J,"Majeur")</f>
        <v>2</v>
      </c>
      <c r="E4" s="71">
        <f ca="1">SUMIFS(Grille!N:N,Grille!A:A,Grille_HT2!A4,Grille!C:C,Grille_HT2!B4,Grille!J:J,"Majeur")</f>
        <v>0</v>
      </c>
      <c r="F4" s="72">
        <f t="shared" ref="F4:F67" ca="1" si="0">IF(C4=0,"Non appliqué",IF(D4=0,"Non concerné",E4/D4))</f>
        <v>0</v>
      </c>
      <c r="G4" s="71">
        <f>SUMIFS(Grille!R:R,Grille!A:A,Grille_HT2!A4,Grille!C:C,Grille_HT2!B4,Grille!J:J,"Mineur")</f>
        <v>3</v>
      </c>
      <c r="H4" s="71">
        <f ca="1">SUMIFS(Grille!Q:Q,Grille!A:A,Grille_HT2!A4,Grille!C:C,Grille_HT2!B4,Grille!J:J,"Mineur")</f>
        <v>3</v>
      </c>
      <c r="I4" s="71">
        <f ca="1">SUMIFS(Grille!N:N,Grille!A:A,Grille_HT2!A4,Grille!C:C,Grille_HT2!B4,Grille!J:J,"Mineur")</f>
        <v>0</v>
      </c>
      <c r="J4" s="72">
        <f t="shared" ref="J4:J67" ca="1" si="1">IF(G4=0,"Non appliqué",IF(H4=0,"Non concerné",I4/H4))</f>
        <v>0</v>
      </c>
      <c r="K4" s="71">
        <v>60</v>
      </c>
      <c r="L4" s="73">
        <f t="shared" ref="L4:L67" ca="1" si="2">IF(D4&gt;0,K4/SUMIFS(K:K,A:A,A4,D:D,"&gt;0"),F4)</f>
        <v>1</v>
      </c>
      <c r="M4" s="73">
        <f t="shared" ref="M4:M67" ca="1" si="3">IF(H4&gt;0,K4/SUMIFS(K:K,A:A,A4,H:H,"&gt;0"),J4)</f>
        <v>0.6</v>
      </c>
      <c r="N4" s="73">
        <f ca="1">IF(ISNUMBER(F4),F4*L4,F4)</f>
        <v>0</v>
      </c>
      <c r="O4" s="73">
        <f t="shared" ref="O4:O67" ca="1" si="4">IF(SUMIFS(C:C,A:A,A4)=0,"Non appliqué",IF(SUMIFS(D:D,A:A,A4)&gt;=0,SUMIFS(N:N,A:A,A4),"Non concerné"))</f>
        <v>0</v>
      </c>
      <c r="P4" s="73">
        <f ca="1">IF(ISNUMBER(J4),J4*M4,J4)</f>
        <v>0</v>
      </c>
      <c r="Q4" s="73">
        <f t="shared" ref="Q4:Q67" ca="1" si="5">IF(SUMIFS(G:G,A:A,A4)=0,"Non appliqué",IF(SUMIFS(H:H,A:A,A4)&gt;=0,SUMIFS(P:P,A:A,A4),"Non concerné"))</f>
        <v>0</v>
      </c>
      <c r="R4" s="77"/>
      <c r="S4" s="75"/>
      <c r="T4" s="75"/>
      <c r="U4" s="75" t="str">
        <f>IF(O5&gt;0,T4*O5,"")</f>
        <v/>
      </c>
      <c r="V4" s="76"/>
      <c r="W4" s="76"/>
      <c r="X4" s="76"/>
      <c r="Y4" s="134">
        <f>Y3+1</f>
        <v>2</v>
      </c>
    </row>
    <row r="5" spans="1:25" s="69" customFormat="1" ht="25.2" x14ac:dyDescent="0.3">
      <c r="A5" s="4"/>
      <c r="B5" s="4" t="s">
        <v>653</v>
      </c>
      <c r="C5" s="5"/>
      <c r="D5" s="5"/>
      <c r="E5" s="5"/>
      <c r="F5" s="5"/>
      <c r="G5" s="9"/>
      <c r="H5" s="9"/>
      <c r="I5" s="9"/>
      <c r="J5" s="6"/>
      <c r="K5" s="5"/>
      <c r="L5" s="5"/>
      <c r="M5" s="5"/>
      <c r="N5" s="6"/>
      <c r="O5" s="6"/>
      <c r="P5" s="6"/>
      <c r="Q5" s="6"/>
      <c r="R5" s="70">
        <v>4</v>
      </c>
      <c r="S5" s="7">
        <f t="shared" ref="S5:S63" ca="1" si="6">IF(SUMIF($A:$A,$A6,D:D)&gt;0,R5/SUM($R:$R),O6)</f>
        <v>0.04</v>
      </c>
      <c r="T5" s="7">
        <f ca="1">IFERROR(S5/SUM(S:S),S5)</f>
        <v>5.5555555555555552E-2</v>
      </c>
      <c r="U5" s="7">
        <f ca="1">IFERROR(T5*O6,T5)</f>
        <v>0</v>
      </c>
      <c r="V5" s="7" t="str">
        <f t="shared" ref="V5:V63" si="7">IF(SUMIF($A:$A,$A6,H:H)&gt;0,R5/SUM(R:R),Q6)</f>
        <v>Non appliqué</v>
      </c>
      <c r="W5" s="7" t="str">
        <f ca="1">IFERROR(V5/SUM(V:V),V5)</f>
        <v>Non appliqué</v>
      </c>
      <c r="X5" s="7" t="str">
        <f ca="1">IFERROR(W5*Q6,W5)</f>
        <v>Non appliqué</v>
      </c>
      <c r="Y5" s="134"/>
    </row>
    <row r="6" spans="1:25" x14ac:dyDescent="0.3">
      <c r="A6" s="64" t="s">
        <v>653</v>
      </c>
      <c r="B6" s="64" t="s">
        <v>654</v>
      </c>
      <c r="C6" s="71">
        <f>SUMIFS(Grille!R:R,Grille!A:A,Grille_HT2!A6,Grille!C:C,Grille_HT2!B6,Grille!J:J,"Majeur")</f>
        <v>0</v>
      </c>
      <c r="D6" s="71">
        <f>SUMIFS(Grille!Q:Q,Grille!A:A,Grille_HT2!A6,Grille!C:C,Grille_HT2!B6,Grille!J:J,"Majeur")</f>
        <v>0</v>
      </c>
      <c r="E6" s="71">
        <f>SUMIFS(Grille!N:N,Grille!A:A,Grille_HT2!A6,Grille!C:C,Grille_HT2!B6,Grille!J:J,"Majeur")</f>
        <v>0</v>
      </c>
      <c r="F6" s="72" t="str">
        <f t="shared" si="0"/>
        <v>Non appliqué</v>
      </c>
      <c r="G6" s="71">
        <f>SUMIFS(Grille!R:R,Grille!A:A,Grille_HT2!A6,Grille!C:C,Grille_HT2!B6,Grille!J:J,"Mineur")</f>
        <v>0</v>
      </c>
      <c r="H6" s="71">
        <f>SUMIFS(Grille!Q:Q,Grille!A:A,Grille_HT2!A6,Grille!C:C,Grille_HT2!B6,Grille!J:J,"Mineur")</f>
        <v>0</v>
      </c>
      <c r="I6" s="71">
        <f>SUMIFS(Grille!N:N,Grille!A:A,Grille_HT2!A6,Grille!C:C,Grille_HT2!B6,Grille!J:J,"Mineur")</f>
        <v>0</v>
      </c>
      <c r="J6" s="72" t="str">
        <f t="shared" si="1"/>
        <v>Non appliqué</v>
      </c>
      <c r="K6" s="71">
        <v>40</v>
      </c>
      <c r="L6" s="73" t="str">
        <f t="shared" si="2"/>
        <v>Non appliqué</v>
      </c>
      <c r="M6" s="73" t="str">
        <f t="shared" si="3"/>
        <v>Non appliqué</v>
      </c>
      <c r="N6" s="73" t="str">
        <f>IF(ISNUMBER(F6),F6*L6,F6)</f>
        <v>Non appliqué</v>
      </c>
      <c r="O6" s="73">
        <f t="shared" ca="1" si="4"/>
        <v>0</v>
      </c>
      <c r="P6" s="73" t="str">
        <f>IF(ISNUMBER(J6),J6*M6,J6)</f>
        <v>Non appliqué</v>
      </c>
      <c r="Q6" s="73" t="str">
        <f t="shared" si="5"/>
        <v>Non appliqué</v>
      </c>
      <c r="R6" s="77"/>
      <c r="S6" s="75"/>
      <c r="T6" s="75"/>
      <c r="U6" s="75"/>
      <c r="V6" s="76"/>
      <c r="W6" s="76"/>
      <c r="X6" s="76"/>
      <c r="Y6" s="134">
        <v>3</v>
      </c>
    </row>
    <row r="7" spans="1:25" x14ac:dyDescent="0.3">
      <c r="A7" s="64" t="s">
        <v>653</v>
      </c>
      <c r="B7" s="64" t="s">
        <v>657</v>
      </c>
      <c r="C7" s="71">
        <f>SUMIFS(Grille!R:R,Grille!A:A,Grille_HT2!A7,Grille!C:C,Grille_HT2!B7,Grille!J:J,"Majeur")</f>
        <v>0</v>
      </c>
      <c r="D7" s="71">
        <f>SUMIFS(Grille!Q:Q,Grille!A:A,Grille_HT2!A7,Grille!C:C,Grille_HT2!B7,Grille!J:J,"Majeur")</f>
        <v>0</v>
      </c>
      <c r="E7" s="71">
        <f>SUMIFS(Grille!N:N,Grille!A:A,Grille_HT2!A7,Grille!C:C,Grille_HT2!B7,Grille!J:J,"Majeur")</f>
        <v>0</v>
      </c>
      <c r="F7" s="72" t="str">
        <f t="shared" si="0"/>
        <v>Non appliqué</v>
      </c>
      <c r="G7" s="71">
        <f>SUMIFS(Grille!R:R,Grille!A:A,Grille_HT2!A7,Grille!C:C,Grille_HT2!B7,Grille!J:J,"Mineur")</f>
        <v>0</v>
      </c>
      <c r="H7" s="71">
        <f>SUMIFS(Grille!Q:Q,Grille!A:A,Grille_HT2!A7,Grille!C:C,Grille_HT2!B7,Grille!J:J,"Mineur")</f>
        <v>0</v>
      </c>
      <c r="I7" s="71">
        <f>SUMIFS(Grille!N:N,Grille!A:A,Grille_HT2!A7,Grille!C:C,Grille_HT2!B7,Grille!J:J,"Mineur")</f>
        <v>0</v>
      </c>
      <c r="J7" s="72" t="str">
        <f t="shared" si="1"/>
        <v>Non appliqué</v>
      </c>
      <c r="K7" s="71">
        <v>20</v>
      </c>
      <c r="L7" s="73" t="str">
        <f t="shared" si="2"/>
        <v>Non appliqué</v>
      </c>
      <c r="M7" s="73" t="str">
        <f t="shared" si="3"/>
        <v>Non appliqué</v>
      </c>
      <c r="N7" s="73" t="str">
        <f>IF(ISNUMBER(F7),F7*L7,F7)</f>
        <v>Non appliqué</v>
      </c>
      <c r="O7" s="73">
        <f t="shared" ca="1" si="4"/>
        <v>0</v>
      </c>
      <c r="P7" s="73" t="str">
        <f>IF(ISNUMBER(J7),J7*M7,J7)</f>
        <v>Non appliqué</v>
      </c>
      <c r="Q7" s="73" t="str">
        <f t="shared" si="5"/>
        <v>Non appliqué</v>
      </c>
      <c r="R7" s="77"/>
      <c r="S7" s="75"/>
      <c r="T7" s="75"/>
      <c r="U7" s="75"/>
      <c r="V7" s="76"/>
      <c r="W7" s="76"/>
      <c r="X7" s="76"/>
      <c r="Y7" s="134">
        <f t="shared" ref="Y7:Y70" si="8">Y6+1</f>
        <v>4</v>
      </c>
    </row>
    <row r="8" spans="1:25" x14ac:dyDescent="0.3">
      <c r="A8" s="64" t="s">
        <v>653</v>
      </c>
      <c r="B8" s="64" t="s">
        <v>658</v>
      </c>
      <c r="C8" s="71">
        <f>SUMIFS(Grille!R:R,Grille!A:A,Grille_HT2!A8,Grille!C:C,Grille_HT2!B8,Grille!J:J,"Majeur")</f>
        <v>15</v>
      </c>
      <c r="D8" s="71">
        <f ca="1">SUMIFS(Grille!Q:Q,Grille!A:A,Grille_HT2!A8,Grille!C:C,Grille_HT2!B8,Grille!J:J,"Majeur")</f>
        <v>15</v>
      </c>
      <c r="E8" s="71">
        <f ca="1">SUMIFS(Grille!N:N,Grille!A:A,Grille_HT2!A8,Grille!C:C,Grille_HT2!B8,Grille!J:J,"Majeur")</f>
        <v>0</v>
      </c>
      <c r="F8" s="72">
        <f t="shared" ca="1" si="0"/>
        <v>0</v>
      </c>
      <c r="G8" s="71">
        <f>SUMIFS(Grille!R:R,Grille!A:A,Grille_HT2!A8,Grille!C:C,Grille_HT2!B8,Grille!J:J,"Mineur")</f>
        <v>0</v>
      </c>
      <c r="H8" s="71">
        <f>SUMIFS(Grille!Q:Q,Grille!A:A,Grille_HT2!A8,Grille!C:C,Grille_HT2!B8,Grille!J:J,"Mineur")</f>
        <v>0</v>
      </c>
      <c r="I8" s="71">
        <f>SUMIFS(Grille!N:N,Grille!A:A,Grille_HT2!A8,Grille!C:C,Grille_HT2!B8,Grille!J:J,"Mineur")</f>
        <v>0</v>
      </c>
      <c r="J8" s="72" t="str">
        <f t="shared" si="1"/>
        <v>Non appliqué</v>
      </c>
      <c r="K8" s="71">
        <v>40</v>
      </c>
      <c r="L8" s="73">
        <f t="shared" ca="1" si="2"/>
        <v>1</v>
      </c>
      <c r="M8" s="73" t="str">
        <f t="shared" si="3"/>
        <v>Non appliqué</v>
      </c>
      <c r="N8" s="73">
        <f ca="1">IF(ISNUMBER(F8),F8*L8,F8)</f>
        <v>0</v>
      </c>
      <c r="O8" s="73">
        <f t="shared" ca="1" si="4"/>
        <v>0</v>
      </c>
      <c r="P8" s="73" t="str">
        <f>IF(ISNUMBER(J8),J8*M8,J8)</f>
        <v>Non appliqué</v>
      </c>
      <c r="Q8" s="73" t="str">
        <f t="shared" si="5"/>
        <v>Non appliqué</v>
      </c>
      <c r="R8" s="77"/>
      <c r="S8" s="75"/>
      <c r="T8" s="75"/>
      <c r="U8" s="75"/>
      <c r="V8" s="76"/>
      <c r="W8" s="76"/>
      <c r="X8" s="76"/>
      <c r="Y8" s="134">
        <f t="shared" si="8"/>
        <v>5</v>
      </c>
    </row>
    <row r="9" spans="1:25" x14ac:dyDescent="0.3">
      <c r="A9" s="4"/>
      <c r="B9" s="4" t="str">
        <f>A10</f>
        <v>Accueil et réception</v>
      </c>
      <c r="C9" s="5"/>
      <c r="D9" s="5"/>
      <c r="E9" s="5"/>
      <c r="F9" s="5"/>
      <c r="G9" s="9"/>
      <c r="H9" s="9"/>
      <c r="I9" s="9"/>
      <c r="J9" s="6"/>
      <c r="K9" s="5"/>
      <c r="L9" s="5"/>
      <c r="M9" s="5"/>
      <c r="N9" s="6"/>
      <c r="O9" s="6"/>
      <c r="P9" s="6"/>
      <c r="Q9" s="6"/>
      <c r="R9" s="70">
        <v>8</v>
      </c>
      <c r="S9" s="7">
        <f t="shared" ca="1" si="6"/>
        <v>0.08</v>
      </c>
      <c r="T9" s="7">
        <f ca="1">IFERROR(S9/SUM(S:S),S9)</f>
        <v>0.1111111111111111</v>
      </c>
      <c r="U9" s="7">
        <f ca="1">IFERROR(T9*O10,T9)</f>
        <v>0</v>
      </c>
      <c r="V9" s="7">
        <f t="shared" ca="1" si="7"/>
        <v>0.08</v>
      </c>
      <c r="W9" s="7">
        <f ca="1">IFERROR(V9/SUM(V:V),V9)</f>
        <v>0.11764705882352941</v>
      </c>
      <c r="X9" s="7">
        <f ca="1">IFERROR(W9*Q10,W9)</f>
        <v>0</v>
      </c>
    </row>
    <row r="10" spans="1:25" x14ac:dyDescent="0.3">
      <c r="A10" s="65" t="s">
        <v>659</v>
      </c>
      <c r="B10" s="65" t="s">
        <v>661</v>
      </c>
      <c r="C10" s="71">
        <f>SUMIFS(Grille!R:R,Grille!A:A,Grille_HT2!A10,Grille!C:C,Grille_HT2!B10,Grille!J:J,"Majeur")</f>
        <v>2</v>
      </c>
      <c r="D10" s="71">
        <f ca="1">SUMIFS(Grille!Q:Q,Grille!A:A,Grille_HT2!A10,Grille!C:C,Grille_HT2!B10,Grille!J:J,"Majeur")</f>
        <v>2</v>
      </c>
      <c r="E10" s="71">
        <f ca="1">SUMIFS(Grille!N:N,Grille!A:A,Grille_HT2!A10,Grille!C:C,Grille_HT2!B10,Grille!J:J,"Majeur")</f>
        <v>0</v>
      </c>
      <c r="F10" s="72">
        <f t="shared" ca="1" si="0"/>
        <v>0</v>
      </c>
      <c r="G10" s="71">
        <f>SUMIFS(Grille!R:R,Grille!A:A,Grille_HT2!A10,Grille!C:C,Grille_HT2!B10,Grille!J:J,"Mineur")</f>
        <v>4</v>
      </c>
      <c r="H10" s="71">
        <f ca="1">SUMIFS(Grille!Q:Q,Grille!A:A,Grille_HT2!A10,Grille!C:C,Grille_HT2!B10,Grille!J:J,"Mineur")</f>
        <v>4</v>
      </c>
      <c r="I10" s="71">
        <f ca="1">SUMIFS(Grille!N:N,Grille!A:A,Grille_HT2!A10,Grille!C:C,Grille_HT2!B10,Grille!J:J,"Mineur")</f>
        <v>0</v>
      </c>
      <c r="J10" s="72">
        <f t="shared" ca="1" si="1"/>
        <v>0</v>
      </c>
      <c r="K10" s="71">
        <v>10</v>
      </c>
      <c r="L10" s="73">
        <f t="shared" ca="1" si="2"/>
        <v>0.125</v>
      </c>
      <c r="M10" s="73">
        <f t="shared" ca="1" si="3"/>
        <v>0.11764705882352941</v>
      </c>
      <c r="N10" s="73">
        <f ca="1">IF(ISNUMBER(F10),F10*L10,F10)</f>
        <v>0</v>
      </c>
      <c r="O10" s="73">
        <f t="shared" ca="1" si="4"/>
        <v>0</v>
      </c>
      <c r="P10" s="73">
        <f ca="1">IF(ISNUMBER(J10),J10*M10,J10)</f>
        <v>0</v>
      </c>
      <c r="Q10" s="73">
        <f t="shared" ca="1" si="5"/>
        <v>0</v>
      </c>
      <c r="R10" s="77"/>
      <c r="S10" s="75"/>
      <c r="T10" s="75"/>
      <c r="U10" s="75"/>
      <c r="V10" s="76"/>
      <c r="W10" s="76"/>
      <c r="X10" s="76"/>
      <c r="Y10" s="134">
        <v>6</v>
      </c>
    </row>
    <row r="11" spans="1:25" x14ac:dyDescent="0.3">
      <c r="A11" s="64" t="s">
        <v>659</v>
      </c>
      <c r="B11" s="65" t="s">
        <v>662</v>
      </c>
      <c r="C11" s="71">
        <f>SUMIFS(Grille!R:R,Grille!A:A,Grille_HT2!A11,Grille!C:C,Grille_HT2!B11,Grille!J:J,"Majeur")</f>
        <v>14</v>
      </c>
      <c r="D11" s="71">
        <f ca="1">SUMIFS(Grille!Q:Q,Grille!A:A,Grille_HT2!A11,Grille!C:C,Grille_HT2!B11,Grille!J:J,"Majeur")</f>
        <v>14</v>
      </c>
      <c r="E11" s="71">
        <f ca="1">SUMIFS(Grille!N:N,Grille!A:A,Grille_HT2!A11,Grille!C:C,Grille_HT2!B11,Grille!J:J,"Majeur")</f>
        <v>0</v>
      </c>
      <c r="F11" s="72">
        <f t="shared" ca="1" si="0"/>
        <v>0</v>
      </c>
      <c r="G11" s="71">
        <f>SUMIFS(Grille!R:R,Grille!A:A,Grille_HT2!A11,Grille!C:C,Grille_HT2!B11,Grille!J:J,"Mineur")</f>
        <v>15</v>
      </c>
      <c r="H11" s="71">
        <f ca="1">SUMIFS(Grille!Q:Q,Grille!A:A,Grille_HT2!A11,Grille!C:C,Grille_HT2!B11,Grille!J:J,"Mineur")</f>
        <v>15</v>
      </c>
      <c r="I11" s="71">
        <f ca="1">SUMIFS(Grille!N:N,Grille!A:A,Grille_HT2!A11,Grille!C:C,Grille_HT2!B11,Grille!J:J,"Mineur")</f>
        <v>0</v>
      </c>
      <c r="J11" s="72">
        <f t="shared" ca="1" si="1"/>
        <v>0</v>
      </c>
      <c r="K11" s="71">
        <v>40</v>
      </c>
      <c r="L11" s="73">
        <f t="shared" ca="1" si="2"/>
        <v>0.5</v>
      </c>
      <c r="M11" s="73">
        <f t="shared" ca="1" si="3"/>
        <v>0.47058823529411764</v>
      </c>
      <c r="N11" s="73">
        <f ca="1">IF(ISNUMBER(F11),F11*L11,F11)</f>
        <v>0</v>
      </c>
      <c r="O11" s="73">
        <f t="shared" ca="1" si="4"/>
        <v>0</v>
      </c>
      <c r="P11" s="73">
        <f ca="1">IF(ISNUMBER(J11),J11*M11,J11)</f>
        <v>0</v>
      </c>
      <c r="Q11" s="73">
        <f t="shared" ca="1" si="5"/>
        <v>0</v>
      </c>
      <c r="R11" s="77"/>
      <c r="S11" s="75"/>
      <c r="T11" s="75"/>
      <c r="U11" s="75"/>
      <c r="V11" s="76"/>
      <c r="W11" s="76"/>
      <c r="X11" s="76"/>
      <c r="Y11" s="134">
        <f t="shared" si="8"/>
        <v>7</v>
      </c>
    </row>
    <row r="12" spans="1:25" x14ac:dyDescent="0.3">
      <c r="A12" s="64" t="s">
        <v>659</v>
      </c>
      <c r="B12" s="65" t="s">
        <v>664</v>
      </c>
      <c r="C12" s="71">
        <f>SUMIFS(Grille!R:R,Grille!A:A,Grille_HT2!A12,Grille!C:C,Grille_HT2!B12,Grille!J:J,"Majeur")</f>
        <v>8</v>
      </c>
      <c r="D12" s="71">
        <f ca="1">SUMIFS(Grille!Q:Q,Grille!A:A,Grille_HT2!A12,Grille!C:C,Grille_HT2!B12,Grille!J:J,"Majeur")</f>
        <v>8</v>
      </c>
      <c r="E12" s="71">
        <f ca="1">SUMIFS(Grille!N:N,Grille!A:A,Grille_HT2!A12,Grille!C:C,Grille_HT2!B12,Grille!J:J,"Majeur")</f>
        <v>0</v>
      </c>
      <c r="F12" s="72">
        <f t="shared" ca="1" si="0"/>
        <v>0</v>
      </c>
      <c r="G12" s="71">
        <f>SUMIFS(Grille!R:R,Grille!A:A,Grille_HT2!A12,Grille!C:C,Grille_HT2!B12,Grille!J:J,"Mineur")</f>
        <v>15</v>
      </c>
      <c r="H12" s="71">
        <f ca="1">SUMIFS(Grille!Q:Q,Grille!A:A,Grille_HT2!A12,Grille!C:C,Grille_HT2!B12,Grille!J:J,"Mineur")</f>
        <v>15</v>
      </c>
      <c r="I12" s="71">
        <f ca="1">SUMIFS(Grille!N:N,Grille!A:A,Grille_HT2!A12,Grille!C:C,Grille_HT2!B12,Grille!J:J,"Mineur")</f>
        <v>0</v>
      </c>
      <c r="J12" s="72">
        <f t="shared" ca="1" si="1"/>
        <v>0</v>
      </c>
      <c r="K12" s="71">
        <v>30</v>
      </c>
      <c r="L12" s="73">
        <f t="shared" ca="1" si="2"/>
        <v>0.375</v>
      </c>
      <c r="M12" s="73">
        <f t="shared" ca="1" si="3"/>
        <v>0.35294117647058826</v>
      </c>
      <c r="N12" s="73">
        <f ca="1">IF(ISNUMBER(F12),F12*L12,F12)</f>
        <v>0</v>
      </c>
      <c r="O12" s="73">
        <f t="shared" ca="1" si="4"/>
        <v>0</v>
      </c>
      <c r="P12" s="73">
        <f ca="1">IF(ISNUMBER(J12),J12*M12,J12)</f>
        <v>0</v>
      </c>
      <c r="Q12" s="73">
        <f t="shared" ca="1" si="5"/>
        <v>0</v>
      </c>
      <c r="R12" s="77"/>
      <c r="S12" s="75"/>
      <c r="T12" s="75"/>
      <c r="U12" s="75"/>
      <c r="V12" s="76"/>
      <c r="W12" s="76"/>
      <c r="X12" s="76"/>
      <c r="Y12" s="134">
        <f t="shared" si="8"/>
        <v>8</v>
      </c>
    </row>
    <row r="13" spans="1:25" x14ac:dyDescent="0.3">
      <c r="A13" s="64" t="s">
        <v>659</v>
      </c>
      <c r="B13" s="65" t="s">
        <v>667</v>
      </c>
      <c r="C13" s="71">
        <f>SUMIFS(Grille!R:R,Grille!A:A,Grille_HT2!A13,Grille!C:C,Grille_HT2!B13,Grille!J:J,"Majeur")</f>
        <v>0</v>
      </c>
      <c r="D13" s="71">
        <f>SUMIFS(Grille!Q:Q,Grille!A:A,Grille_HT2!A13,Grille!C:C,Grille_HT2!B13,Grille!J:J,"Majeur")</f>
        <v>0</v>
      </c>
      <c r="E13" s="71">
        <f>SUMIFS(Grille!N:N,Grille!A:A,Grille_HT2!A13,Grille!C:C,Grille_HT2!B13,Grille!J:J,"Majeur")</f>
        <v>0</v>
      </c>
      <c r="F13" s="72" t="str">
        <f t="shared" si="0"/>
        <v>Non appliqué</v>
      </c>
      <c r="G13" s="71">
        <f>SUMIFS(Grille!R:R,Grille!A:A,Grille_HT2!A13,Grille!C:C,Grille_HT2!B13,Grille!J:J,"Mineur")</f>
        <v>0</v>
      </c>
      <c r="H13" s="71">
        <f>SUMIFS(Grille!Q:Q,Grille!A:A,Grille_HT2!A13,Grille!C:C,Grille_HT2!B13,Grille!J:J,"Mineur")</f>
        <v>0</v>
      </c>
      <c r="I13" s="71">
        <f>SUMIFS(Grille!N:N,Grille!A:A,Grille_HT2!A13,Grille!C:C,Grille_HT2!B13,Grille!J:J,"Mineur")</f>
        <v>0</v>
      </c>
      <c r="J13" s="72" t="str">
        <f t="shared" si="1"/>
        <v>Non appliqué</v>
      </c>
      <c r="K13" s="71">
        <v>15</v>
      </c>
      <c r="L13" s="73" t="str">
        <f t="shared" si="2"/>
        <v>Non appliqué</v>
      </c>
      <c r="M13" s="73" t="str">
        <f t="shared" si="3"/>
        <v>Non appliqué</v>
      </c>
      <c r="N13" s="73" t="str">
        <f>IF(ISNUMBER(F13),F13*L13,F13)</f>
        <v>Non appliqué</v>
      </c>
      <c r="O13" s="73">
        <f t="shared" ca="1" si="4"/>
        <v>0</v>
      </c>
      <c r="P13" s="73" t="str">
        <f>IF(ISNUMBER(J13),J13*M13,J13)</f>
        <v>Non appliqué</v>
      </c>
      <c r="Q13" s="73">
        <f t="shared" ca="1" si="5"/>
        <v>0</v>
      </c>
      <c r="R13" s="77"/>
      <c r="S13" s="75"/>
      <c r="T13" s="75"/>
      <c r="U13" s="75"/>
      <c r="V13" s="76"/>
      <c r="W13" s="76"/>
      <c r="X13" s="76"/>
      <c r="Y13" s="134">
        <f t="shared" si="8"/>
        <v>9</v>
      </c>
    </row>
    <row r="14" spans="1:25" x14ac:dyDescent="0.3">
      <c r="A14" s="64" t="s">
        <v>659</v>
      </c>
      <c r="B14" s="65" t="s">
        <v>668</v>
      </c>
      <c r="C14" s="71">
        <f>SUMIFS(Grille!R:R,Grille!A:A,Grille_HT2!A14,Grille!C:C,Grille_HT2!B14,Grille!J:J,"Majeur")</f>
        <v>0</v>
      </c>
      <c r="D14" s="71">
        <f>SUMIFS(Grille!Q:Q,Grille!A:A,Grille_HT2!A14,Grille!C:C,Grille_HT2!B14,Grille!J:J,"Majeur")</f>
        <v>0</v>
      </c>
      <c r="E14" s="71">
        <f>SUMIFS(Grille!N:N,Grille!A:A,Grille_HT2!A14,Grille!C:C,Grille_HT2!B14,Grille!J:J,"Majeur")</f>
        <v>0</v>
      </c>
      <c r="F14" s="72" t="str">
        <f t="shared" si="0"/>
        <v>Non appliqué</v>
      </c>
      <c r="G14" s="71">
        <f>SUMIFS(Grille!R:R,Grille!A:A,Grille_HT2!A14,Grille!C:C,Grille_HT2!B14,Grille!J:J,"Mineur")</f>
        <v>2</v>
      </c>
      <c r="H14" s="71">
        <f ca="1">SUMIFS(Grille!Q:Q,Grille!A:A,Grille_HT2!A14,Grille!C:C,Grille_HT2!B14,Grille!J:J,"Mineur")</f>
        <v>2</v>
      </c>
      <c r="I14" s="71">
        <f ca="1">SUMIFS(Grille!N:N,Grille!A:A,Grille_HT2!A14,Grille!C:C,Grille_HT2!B14,Grille!J:J,"Mineur")</f>
        <v>0</v>
      </c>
      <c r="J14" s="72">
        <f t="shared" ca="1" si="1"/>
        <v>0</v>
      </c>
      <c r="K14" s="71">
        <v>5</v>
      </c>
      <c r="L14" s="73" t="str">
        <f t="shared" si="2"/>
        <v>Non appliqué</v>
      </c>
      <c r="M14" s="73">
        <f t="shared" ca="1" si="3"/>
        <v>5.8823529411764705E-2</v>
      </c>
      <c r="N14" s="73" t="str">
        <f>IF(ISNUMBER(F14),F14*L14,F14)</f>
        <v>Non appliqué</v>
      </c>
      <c r="O14" s="73">
        <f t="shared" ca="1" si="4"/>
        <v>0</v>
      </c>
      <c r="P14" s="73">
        <f ca="1">IF(ISNUMBER(J14),J14*M14,J14)</f>
        <v>0</v>
      </c>
      <c r="Q14" s="73">
        <f t="shared" ca="1" si="5"/>
        <v>0</v>
      </c>
      <c r="R14" s="77"/>
      <c r="S14" s="75"/>
      <c r="T14" s="75"/>
      <c r="U14" s="75"/>
      <c r="V14" s="76"/>
      <c r="W14" s="76"/>
      <c r="X14" s="76"/>
      <c r="Y14" s="134">
        <f t="shared" si="8"/>
        <v>10</v>
      </c>
    </row>
    <row r="15" spans="1:25" x14ac:dyDescent="0.3">
      <c r="A15" s="4"/>
      <c r="B15" s="4" t="str">
        <f>A16</f>
        <v>Sanitaires publiques</v>
      </c>
      <c r="C15" s="5"/>
      <c r="D15" s="5"/>
      <c r="E15" s="5"/>
      <c r="F15" s="5"/>
      <c r="G15" s="9"/>
      <c r="H15" s="9"/>
      <c r="I15" s="9"/>
      <c r="J15" s="6"/>
      <c r="K15" s="5"/>
      <c r="L15" s="5"/>
      <c r="M15" s="5"/>
      <c r="N15" s="6"/>
      <c r="O15" s="6"/>
      <c r="P15" s="6"/>
      <c r="Q15" s="6"/>
      <c r="R15" s="70">
        <v>2</v>
      </c>
      <c r="S15" s="7">
        <f t="shared" ca="1" si="6"/>
        <v>0.02</v>
      </c>
      <c r="T15" s="7">
        <f ca="1">IFERROR(S15/SUM(S:S),S15)</f>
        <v>2.7777777777777776E-2</v>
      </c>
      <c r="U15" s="7">
        <f ca="1">IFERROR(T15*O16,T15)</f>
        <v>0</v>
      </c>
      <c r="V15" s="7">
        <f t="shared" ca="1" si="7"/>
        <v>0.02</v>
      </c>
      <c r="W15" s="7">
        <f ca="1">IFERROR(V15/SUM(V:V),V15)</f>
        <v>2.9411764705882353E-2</v>
      </c>
      <c r="X15" s="7">
        <f ca="1">IFERROR(W15*Q16,W15)</f>
        <v>0</v>
      </c>
    </row>
    <row r="16" spans="1:25" x14ac:dyDescent="0.3">
      <c r="A16" s="64" t="s">
        <v>669</v>
      </c>
      <c r="B16" s="65" t="s">
        <v>671</v>
      </c>
      <c r="C16" s="71">
        <f>SUMIFS(Grille!R:R,Grille!A:A,Grille_HT2!A16,Grille!C:C,Grille_HT2!B16,Grille!J:J,"Majeur")</f>
        <v>12</v>
      </c>
      <c r="D16" s="71">
        <f ca="1">SUMIFS(Grille!Q:Q,Grille!A:A,Grille_HT2!A16,Grille!C:C,Grille_HT2!B16,Grille!J:J,"Majeur")</f>
        <v>12</v>
      </c>
      <c r="E16" s="71">
        <f ca="1">SUMIFS(Grille!N:N,Grille!A:A,Grille_HT2!A16,Grille!C:C,Grille_HT2!B16,Grille!J:J,"Majeur")</f>
        <v>0</v>
      </c>
      <c r="F16" s="72">
        <f t="shared" ca="1" si="0"/>
        <v>0</v>
      </c>
      <c r="G16" s="71">
        <f>SUMIFS(Grille!R:R,Grille!A:A,Grille_HT2!A16,Grille!C:C,Grille_HT2!B16,Grille!J:J,"Mineur")</f>
        <v>4</v>
      </c>
      <c r="H16" s="71">
        <f ca="1">SUMIFS(Grille!Q:Q,Grille!A:A,Grille_HT2!A16,Grille!C:C,Grille_HT2!B16,Grille!J:J,"Mineur")</f>
        <v>4</v>
      </c>
      <c r="I16" s="71">
        <f ca="1">SUMIFS(Grille!N:N,Grille!A:A,Grille_HT2!A16,Grille!C:C,Grille_HT2!B16,Grille!J:J,"Mineur")</f>
        <v>0</v>
      </c>
      <c r="J16" s="72">
        <f t="shared" ca="1" si="1"/>
        <v>0</v>
      </c>
      <c r="K16" s="71">
        <v>40</v>
      </c>
      <c r="L16" s="73">
        <f t="shared" ca="1" si="2"/>
        <v>0.4</v>
      </c>
      <c r="M16" s="73">
        <f t="shared" ca="1" si="3"/>
        <v>0.4</v>
      </c>
      <c r="N16" s="73">
        <f ca="1">IF(ISNUMBER(F16),F16*L16,F16)</f>
        <v>0</v>
      </c>
      <c r="O16" s="73">
        <f t="shared" ca="1" si="4"/>
        <v>0</v>
      </c>
      <c r="P16" s="73">
        <f ca="1">IF(ISNUMBER(J16),J16*M16,J16)</f>
        <v>0</v>
      </c>
      <c r="Q16" s="73">
        <f t="shared" ca="1" si="5"/>
        <v>0</v>
      </c>
      <c r="R16" s="77"/>
      <c r="S16" s="75"/>
      <c r="T16" s="75"/>
      <c r="U16" s="75"/>
      <c r="V16" s="76"/>
      <c r="W16" s="76"/>
      <c r="X16" s="76"/>
      <c r="Y16" s="134">
        <v>11</v>
      </c>
    </row>
    <row r="17" spans="1:25" x14ac:dyDescent="0.3">
      <c r="A17" s="64" t="s">
        <v>669</v>
      </c>
      <c r="B17" s="65" t="s">
        <v>673</v>
      </c>
      <c r="C17" s="71">
        <f>SUMIFS(Grille!R:R,Grille!A:A,Grille_HT2!A17,Grille!C:C,Grille_HT2!B17,Grille!J:J,"Majeur")</f>
        <v>9</v>
      </c>
      <c r="D17" s="71">
        <f ca="1">SUMIFS(Grille!Q:Q,Grille!A:A,Grille_HT2!A17,Grille!C:C,Grille_HT2!B17,Grille!J:J,"Majeur")</f>
        <v>9</v>
      </c>
      <c r="E17" s="71">
        <f ca="1">SUMIFS(Grille!N:N,Grille!A:A,Grille_HT2!A17,Grille!C:C,Grille_HT2!B17,Grille!J:J,"Majeur")</f>
        <v>0</v>
      </c>
      <c r="F17" s="72">
        <f t="shared" ca="1" si="0"/>
        <v>0</v>
      </c>
      <c r="G17" s="71">
        <f>SUMIFS(Grille!R:R,Grille!A:A,Grille_HT2!A17,Grille!C:C,Grille_HT2!B17,Grille!J:J,"Mineur")</f>
        <v>1</v>
      </c>
      <c r="H17" s="71">
        <f ca="1">SUMIFS(Grille!Q:Q,Grille!A:A,Grille_HT2!A17,Grille!C:C,Grille_HT2!B17,Grille!J:J,"Mineur")</f>
        <v>1</v>
      </c>
      <c r="I17" s="71">
        <f ca="1">SUMIFS(Grille!N:N,Grille!A:A,Grille_HT2!A17,Grille!C:C,Grille_HT2!B17,Grille!J:J,"Mineur")</f>
        <v>0</v>
      </c>
      <c r="J17" s="72">
        <f t="shared" ca="1" si="1"/>
        <v>0</v>
      </c>
      <c r="K17" s="71">
        <v>30</v>
      </c>
      <c r="L17" s="73">
        <f t="shared" ca="1" si="2"/>
        <v>0.3</v>
      </c>
      <c r="M17" s="73">
        <f t="shared" ca="1" si="3"/>
        <v>0.3</v>
      </c>
      <c r="N17" s="73">
        <f ca="1">IF(ISNUMBER(F17),F17*L17,F17)</f>
        <v>0</v>
      </c>
      <c r="O17" s="73">
        <f t="shared" ca="1" si="4"/>
        <v>0</v>
      </c>
      <c r="P17" s="73">
        <f ca="1">IF(ISNUMBER(J17),J17*M17,J17)</f>
        <v>0</v>
      </c>
      <c r="Q17" s="73">
        <f t="shared" ca="1" si="5"/>
        <v>0</v>
      </c>
      <c r="R17" s="77"/>
      <c r="S17" s="75"/>
      <c r="T17" s="75"/>
      <c r="U17" s="75"/>
      <c r="V17" s="76"/>
      <c r="W17" s="76"/>
      <c r="X17" s="76"/>
      <c r="Y17" s="134">
        <f t="shared" si="8"/>
        <v>12</v>
      </c>
    </row>
    <row r="18" spans="1:25" x14ac:dyDescent="0.3">
      <c r="A18" s="64" t="s">
        <v>669</v>
      </c>
      <c r="B18" s="65" t="s">
        <v>675</v>
      </c>
      <c r="C18" s="71">
        <f>SUMIFS(Grille!R:R,Grille!A:A,Grille_HT2!A18,Grille!C:C,Grille_HT2!B18,Grille!J:J,"Majeur")</f>
        <v>11</v>
      </c>
      <c r="D18" s="71">
        <f ca="1">SUMIFS(Grille!Q:Q,Grille!A:A,Grille_HT2!A18,Grille!C:C,Grille_HT2!B18,Grille!J:J,"Majeur")</f>
        <v>11</v>
      </c>
      <c r="E18" s="71">
        <f ca="1">SUMIFS(Grille!N:N,Grille!A:A,Grille_HT2!A18,Grille!C:C,Grille_HT2!B18,Grille!J:J,"Majeur")</f>
        <v>0</v>
      </c>
      <c r="F18" s="72">
        <f t="shared" ca="1" si="0"/>
        <v>0</v>
      </c>
      <c r="G18" s="71">
        <f>SUMIFS(Grille!R:R,Grille!A:A,Grille_HT2!A18,Grille!C:C,Grille_HT2!B18,Grille!J:J,"Mineur")</f>
        <v>3</v>
      </c>
      <c r="H18" s="71">
        <f ca="1">SUMIFS(Grille!Q:Q,Grille!A:A,Grille_HT2!A18,Grille!C:C,Grille_HT2!B18,Grille!J:J,"Mineur")</f>
        <v>3</v>
      </c>
      <c r="I18" s="71">
        <f ca="1">SUMIFS(Grille!N:N,Grille!A:A,Grille_HT2!A18,Grille!C:C,Grille_HT2!B18,Grille!J:J,"Mineur")</f>
        <v>0</v>
      </c>
      <c r="J18" s="72">
        <f t="shared" ca="1" si="1"/>
        <v>0</v>
      </c>
      <c r="K18" s="71">
        <v>30</v>
      </c>
      <c r="L18" s="73">
        <f t="shared" ca="1" si="2"/>
        <v>0.3</v>
      </c>
      <c r="M18" s="73">
        <f t="shared" ca="1" si="3"/>
        <v>0.3</v>
      </c>
      <c r="N18" s="73">
        <f ca="1">IF(ISNUMBER(F18),F18*L18,F18)</f>
        <v>0</v>
      </c>
      <c r="O18" s="73">
        <f t="shared" ca="1" si="4"/>
        <v>0</v>
      </c>
      <c r="P18" s="73">
        <f ca="1">IF(ISNUMBER(J18),J18*M18,J18)</f>
        <v>0</v>
      </c>
      <c r="Q18" s="73">
        <f t="shared" ca="1" si="5"/>
        <v>0</v>
      </c>
      <c r="R18" s="77"/>
      <c r="S18" s="75"/>
      <c r="T18" s="75"/>
      <c r="U18" s="75"/>
      <c r="V18" s="76"/>
      <c r="W18" s="76"/>
      <c r="X18" s="76"/>
      <c r="Y18" s="134">
        <f t="shared" si="8"/>
        <v>13</v>
      </c>
    </row>
    <row r="19" spans="1:25" x14ac:dyDescent="0.3">
      <c r="A19" s="4"/>
      <c r="B19" s="4" t="str">
        <f>A20</f>
        <v>Circulation</v>
      </c>
      <c r="C19" s="5"/>
      <c r="D19" s="5"/>
      <c r="E19" s="5"/>
      <c r="F19" s="5"/>
      <c r="G19" s="9"/>
      <c r="H19" s="9"/>
      <c r="I19" s="9"/>
      <c r="J19" s="6"/>
      <c r="K19" s="5"/>
      <c r="L19" s="5"/>
      <c r="M19" s="5"/>
      <c r="N19" s="6"/>
      <c r="O19" s="6"/>
      <c r="P19" s="6"/>
      <c r="Q19" s="6"/>
      <c r="R19" s="70">
        <v>3</v>
      </c>
      <c r="S19" s="7">
        <f t="shared" ca="1" si="6"/>
        <v>0.03</v>
      </c>
      <c r="T19" s="7">
        <f ca="1">IFERROR(S19/SUM(S:S),S19)</f>
        <v>4.1666666666666657E-2</v>
      </c>
      <c r="U19" s="7">
        <f ca="1">IFERROR(T19*O20,T19)</f>
        <v>0</v>
      </c>
      <c r="V19" s="7">
        <f t="shared" ca="1" si="7"/>
        <v>0.03</v>
      </c>
      <c r="W19" s="7">
        <f ca="1">IFERROR(V19/SUM(V:V),V19)</f>
        <v>4.4117647058823525E-2</v>
      </c>
      <c r="X19" s="7">
        <f ca="1">IFERROR(W19*Q20,W19)</f>
        <v>0</v>
      </c>
    </row>
    <row r="20" spans="1:25" x14ac:dyDescent="0.3">
      <c r="A20" s="64" t="s">
        <v>676</v>
      </c>
      <c r="B20" s="65" t="s">
        <v>677</v>
      </c>
      <c r="C20" s="71">
        <f>SUMIFS(Grille!R:R,Grille!A:A,Grille_HT2!A20,Grille!C:C,Grille_HT2!B20,Grille!J:J,"Majeur")</f>
        <v>19</v>
      </c>
      <c r="D20" s="71">
        <f ca="1">SUMIFS(Grille!Q:Q,Grille!A:A,Grille_HT2!A20,Grille!C:C,Grille_HT2!B20,Grille!J:J,"Majeur")</f>
        <v>19</v>
      </c>
      <c r="E20" s="71">
        <f ca="1">SUMIFS(Grille!N:N,Grille!A:A,Grille_HT2!A20,Grille!C:C,Grille_HT2!B20,Grille!J:J,"Majeur")</f>
        <v>0</v>
      </c>
      <c r="F20" s="72">
        <f t="shared" ca="1" si="0"/>
        <v>0</v>
      </c>
      <c r="G20" s="71">
        <f>SUMIFS(Grille!R:R,Grille!A:A,Grille_HT2!A20,Grille!C:C,Grille_HT2!B20,Grille!J:J,"Mineur")</f>
        <v>2</v>
      </c>
      <c r="H20" s="71">
        <f ca="1">SUMIFS(Grille!Q:Q,Grille!A:A,Grille_HT2!A20,Grille!C:C,Grille_HT2!B20,Grille!J:J,"Mineur")</f>
        <v>2</v>
      </c>
      <c r="I20" s="71">
        <f ca="1">SUMIFS(Grille!N:N,Grille!A:A,Grille_HT2!A20,Grille!C:C,Grille_HT2!B20,Grille!J:J,"Mineur")</f>
        <v>0</v>
      </c>
      <c r="J20" s="72">
        <f t="shared" ca="1" si="1"/>
        <v>0</v>
      </c>
      <c r="K20" s="71">
        <v>70</v>
      </c>
      <c r="L20" s="73">
        <f t="shared" ca="1" si="2"/>
        <v>1</v>
      </c>
      <c r="M20" s="73">
        <f t="shared" ca="1" si="3"/>
        <v>0.7</v>
      </c>
      <c r="N20" s="73">
        <f ca="1">IF(ISNUMBER(F20),F20*L20,F20)</f>
        <v>0</v>
      </c>
      <c r="O20" s="73">
        <f t="shared" ca="1" si="4"/>
        <v>0</v>
      </c>
      <c r="P20" s="73">
        <f ca="1">IF(ISNUMBER(J20),J20*M20,J20)</f>
        <v>0</v>
      </c>
      <c r="Q20" s="73">
        <f t="shared" ca="1" si="5"/>
        <v>0</v>
      </c>
      <c r="R20" s="77"/>
      <c r="S20" s="75"/>
      <c r="T20" s="75"/>
      <c r="U20" s="75"/>
      <c r="V20" s="76"/>
      <c r="W20" s="76"/>
      <c r="X20" s="76"/>
      <c r="Y20" s="134">
        <v>14</v>
      </c>
    </row>
    <row r="21" spans="1:25" x14ac:dyDescent="0.3">
      <c r="A21" s="64" t="s">
        <v>676</v>
      </c>
      <c r="B21" s="65" t="s">
        <v>678</v>
      </c>
      <c r="C21" s="71">
        <f>SUMIFS(Grille!R:R,Grille!A:A,Grille_HT2!A21,Grille!C:C,Grille_HT2!B21,Grille!J:J,"Majeur")</f>
        <v>0</v>
      </c>
      <c r="D21" s="71">
        <f>SUMIFS(Grille!Q:Q,Grille!A:A,Grille_HT2!A21,Grille!C:C,Grille_HT2!B21,Grille!J:J,"Majeur")</f>
        <v>0</v>
      </c>
      <c r="E21" s="71">
        <f>SUMIFS(Grille!N:N,Grille!A:A,Grille_HT2!A21,Grille!C:C,Grille_HT2!B21,Grille!J:J,"Majeur")</f>
        <v>0</v>
      </c>
      <c r="F21" s="72" t="str">
        <f t="shared" si="0"/>
        <v>Non appliqué</v>
      </c>
      <c r="G21" s="71">
        <f>SUMIFS(Grille!R:R,Grille!A:A,Grille_HT2!A21,Grille!C:C,Grille_HT2!B21,Grille!J:J,"Mineur")</f>
        <v>12</v>
      </c>
      <c r="H21" s="71">
        <f ca="1">SUMIFS(Grille!Q:Q,Grille!A:A,Grille_HT2!A21,Grille!C:C,Grille_HT2!B21,Grille!J:J,"Mineur")</f>
        <v>12</v>
      </c>
      <c r="I21" s="71">
        <f ca="1">SUMIFS(Grille!N:N,Grille!A:A,Grille_HT2!A21,Grille!C:C,Grille_HT2!B21,Grille!J:J,"Mineur")</f>
        <v>0</v>
      </c>
      <c r="J21" s="72">
        <f t="shared" ca="1" si="1"/>
        <v>0</v>
      </c>
      <c r="K21" s="71">
        <v>30</v>
      </c>
      <c r="L21" s="73" t="str">
        <f t="shared" si="2"/>
        <v>Non appliqué</v>
      </c>
      <c r="M21" s="73">
        <f t="shared" ca="1" si="3"/>
        <v>0.3</v>
      </c>
      <c r="N21" s="73" t="str">
        <f>IF(ISNUMBER(F21),F21*L21,F21)</f>
        <v>Non appliqué</v>
      </c>
      <c r="O21" s="73">
        <f t="shared" ca="1" si="4"/>
        <v>0</v>
      </c>
      <c r="P21" s="73">
        <f ca="1">IF(ISNUMBER(J21),J21*M21,J21)</f>
        <v>0</v>
      </c>
      <c r="Q21" s="73">
        <f t="shared" ca="1" si="5"/>
        <v>0</v>
      </c>
      <c r="R21" s="77"/>
      <c r="S21" s="75"/>
      <c r="T21" s="75"/>
      <c r="U21" s="75"/>
      <c r="V21" s="76"/>
      <c r="W21" s="76"/>
      <c r="X21" s="76"/>
      <c r="Y21" s="134">
        <f t="shared" si="8"/>
        <v>15</v>
      </c>
    </row>
    <row r="22" spans="1:25" x14ac:dyDescent="0.3">
      <c r="A22" s="4"/>
      <c r="B22" s="4" t="str">
        <f>A23</f>
        <v>Petit déjeuner</v>
      </c>
      <c r="C22" s="5"/>
      <c r="D22" s="5"/>
      <c r="E22" s="5"/>
      <c r="F22" s="5"/>
      <c r="G22" s="9"/>
      <c r="H22" s="9"/>
      <c r="I22" s="9"/>
      <c r="J22" s="6"/>
      <c r="K22" s="5"/>
      <c r="L22" s="5"/>
      <c r="M22" s="5"/>
      <c r="N22" s="6"/>
      <c r="O22" s="6"/>
      <c r="P22" s="6"/>
      <c r="Q22" s="6"/>
      <c r="R22" s="70">
        <v>7.5</v>
      </c>
      <c r="S22" s="7">
        <f t="shared" ca="1" si="6"/>
        <v>7.4999999999999997E-2</v>
      </c>
      <c r="T22" s="7">
        <f ca="1">IFERROR(S22/SUM(S:S),S22)</f>
        <v>0.10416666666666666</v>
      </c>
      <c r="U22" s="7">
        <f ca="1">IFERROR(T22*O23,T22)</f>
        <v>0</v>
      </c>
      <c r="V22" s="7">
        <f t="shared" ca="1" si="7"/>
        <v>7.4999999999999997E-2</v>
      </c>
      <c r="W22" s="7">
        <f ca="1">IFERROR(V22/SUM(V:V),V22)</f>
        <v>0.11029411764705881</v>
      </c>
      <c r="X22" s="7">
        <f ca="1">IFERROR(W22*Q23,W22)</f>
        <v>0</v>
      </c>
    </row>
    <row r="23" spans="1:25" x14ac:dyDescent="0.3">
      <c r="A23" s="64" t="s">
        <v>680</v>
      </c>
      <c r="B23" s="65" t="s">
        <v>682</v>
      </c>
      <c r="C23" s="71">
        <f>SUMIFS(Grille!R:R,Grille!A:A,Grille_HT2!A23,Grille!C:C,Grille_HT2!B23,Grille!J:J,"Majeur")</f>
        <v>14</v>
      </c>
      <c r="D23" s="71">
        <f ca="1">SUMIFS(Grille!Q:Q,Grille!A:A,Grille_HT2!A23,Grille!C:C,Grille_HT2!B23,Grille!J:J,"Majeur")</f>
        <v>14</v>
      </c>
      <c r="E23" s="71">
        <f ca="1">SUMIFS(Grille!N:N,Grille!A:A,Grille_HT2!A23,Grille!C:C,Grille_HT2!B23,Grille!J:J,"Majeur")</f>
        <v>0</v>
      </c>
      <c r="F23" s="72">
        <f t="shared" ca="1" si="0"/>
        <v>0</v>
      </c>
      <c r="G23" s="71">
        <f>SUMIFS(Grille!R:R,Grille!A:A,Grille_HT2!A23,Grille!C:C,Grille_HT2!B23,Grille!J:J,"Mineur")</f>
        <v>3</v>
      </c>
      <c r="H23" s="71">
        <f ca="1">SUMIFS(Grille!Q:Q,Grille!A:A,Grille_HT2!A23,Grille!C:C,Grille_HT2!B23,Grille!J:J,"Mineur")</f>
        <v>3</v>
      </c>
      <c r="I23" s="71">
        <f ca="1">SUMIFS(Grille!N:N,Grille!A:A,Grille_HT2!A23,Grille!C:C,Grille_HT2!B23,Grille!J:J,"Mineur")</f>
        <v>0</v>
      </c>
      <c r="J23" s="72">
        <f t="shared" ca="1" si="1"/>
        <v>0</v>
      </c>
      <c r="K23" s="71">
        <v>70</v>
      </c>
      <c r="L23" s="73">
        <f t="shared" ca="1" si="2"/>
        <v>0.7</v>
      </c>
      <c r="M23" s="73">
        <f t="shared" ca="1" si="3"/>
        <v>1</v>
      </c>
      <c r="N23" s="73">
        <f ca="1">IF(ISNUMBER(F23),F23*L23,F23)</f>
        <v>0</v>
      </c>
      <c r="O23" s="73">
        <f t="shared" ca="1" si="4"/>
        <v>0</v>
      </c>
      <c r="P23" s="73">
        <f ca="1">IF(ISNUMBER(J23),J23*M23,J23)</f>
        <v>0</v>
      </c>
      <c r="Q23" s="73">
        <f t="shared" ca="1" si="5"/>
        <v>0</v>
      </c>
      <c r="R23" s="77"/>
      <c r="S23" s="75"/>
      <c r="T23" s="75"/>
      <c r="U23" s="75"/>
      <c r="V23" s="76"/>
      <c r="W23" s="76"/>
      <c r="X23" s="76"/>
      <c r="Y23" s="134">
        <v>16</v>
      </c>
    </row>
    <row r="24" spans="1:25" x14ac:dyDescent="0.3">
      <c r="A24" s="64" t="s">
        <v>680</v>
      </c>
      <c r="B24" s="65" t="s">
        <v>685</v>
      </c>
      <c r="C24" s="71">
        <f>SUMIFS(Grille!R:R,Grille!A:A,Grille_HT2!A24,Grille!C:C,Grille_HT2!B24,Grille!J:J,"Majeur")</f>
        <v>18</v>
      </c>
      <c r="D24" s="71">
        <f ca="1">SUMIFS(Grille!Q:Q,Grille!A:A,Grille_HT2!A24,Grille!C:C,Grille_HT2!B24,Grille!J:J,"Majeur")</f>
        <v>18</v>
      </c>
      <c r="E24" s="71">
        <f ca="1">SUMIFS(Grille!N:N,Grille!A:A,Grille_HT2!A24,Grille!C:C,Grille_HT2!B24,Grille!J:J,"Majeur")</f>
        <v>0</v>
      </c>
      <c r="F24" s="72">
        <f t="shared" ca="1" si="0"/>
        <v>0</v>
      </c>
      <c r="G24" s="71">
        <f>SUMIFS(Grille!R:R,Grille!A:A,Grille_HT2!A24,Grille!C:C,Grille_HT2!B24,Grille!J:J,"Mineur")</f>
        <v>0</v>
      </c>
      <c r="H24" s="71">
        <f>SUMIFS(Grille!Q:Q,Grille!A:A,Grille_HT2!A24,Grille!C:C,Grille_HT2!B24,Grille!J:J,"Mineur")</f>
        <v>0</v>
      </c>
      <c r="I24" s="71">
        <f>SUMIFS(Grille!N:N,Grille!A:A,Grille_HT2!A24,Grille!C:C,Grille_HT2!B24,Grille!J:J,"Mineur")</f>
        <v>0</v>
      </c>
      <c r="J24" s="72" t="str">
        <f t="shared" si="1"/>
        <v>Non appliqué</v>
      </c>
      <c r="K24" s="71">
        <v>30</v>
      </c>
      <c r="L24" s="73">
        <f t="shared" ca="1" si="2"/>
        <v>0.3</v>
      </c>
      <c r="M24" s="73" t="str">
        <f t="shared" si="3"/>
        <v>Non appliqué</v>
      </c>
      <c r="N24" s="73">
        <f ca="1">IF(ISNUMBER(F24),F24*L24,F24)</f>
        <v>0</v>
      </c>
      <c r="O24" s="73">
        <f t="shared" ca="1" si="4"/>
        <v>0</v>
      </c>
      <c r="P24" s="73" t="str">
        <f>IF(ISNUMBER(J24),J24*M24,J24)</f>
        <v>Non appliqué</v>
      </c>
      <c r="Q24" s="73">
        <f t="shared" ca="1" si="5"/>
        <v>0</v>
      </c>
      <c r="R24" s="77"/>
      <c r="S24" s="75"/>
      <c r="T24" s="75"/>
      <c r="U24" s="75"/>
      <c r="V24" s="76"/>
      <c r="W24" s="76"/>
      <c r="X24" s="76"/>
      <c r="Y24" s="134">
        <f t="shared" si="8"/>
        <v>17</v>
      </c>
    </row>
    <row r="25" spans="1:25" x14ac:dyDescent="0.3">
      <c r="A25" s="4"/>
      <c r="B25" s="4" t="s">
        <v>686</v>
      </c>
      <c r="C25" s="5"/>
      <c r="D25" s="5"/>
      <c r="E25" s="5"/>
      <c r="F25" s="5"/>
      <c r="G25" s="9"/>
      <c r="H25" s="9"/>
      <c r="I25" s="9"/>
      <c r="J25" s="6"/>
      <c r="K25" s="5"/>
      <c r="L25" s="5"/>
      <c r="M25" s="5"/>
      <c r="N25" s="6"/>
      <c r="O25" s="6"/>
      <c r="P25" s="6"/>
      <c r="Q25" s="6"/>
      <c r="R25" s="70">
        <v>7.5</v>
      </c>
      <c r="S25" s="7">
        <f t="shared" ca="1" si="6"/>
        <v>7.4999999999999997E-2</v>
      </c>
      <c r="T25" s="7">
        <f ca="1">IFERROR(S25/SUM(S:S),S25)</f>
        <v>0.10416666666666666</v>
      </c>
      <c r="U25" s="7">
        <f ca="1">IFERROR(T25*O26,T25)</f>
        <v>0</v>
      </c>
      <c r="V25" s="7">
        <f t="shared" ca="1" si="7"/>
        <v>7.4999999999999997E-2</v>
      </c>
      <c r="W25" s="7">
        <f ca="1">IFERROR(V25/SUM(V:V),V25)</f>
        <v>0.11029411764705881</v>
      </c>
      <c r="X25" s="7">
        <f ca="1">IFERROR(W25*Q26,W25)</f>
        <v>0</v>
      </c>
    </row>
    <row r="26" spans="1:25" x14ac:dyDescent="0.3">
      <c r="A26" s="64" t="s">
        <v>686</v>
      </c>
      <c r="B26" s="65" t="s">
        <v>682</v>
      </c>
      <c r="C26" s="71">
        <f>SUMIFS(Grille!R:R,Grille!A:A,Grille_HT2!A26,Grille!C:C,Grille_HT2!B26,Grille!J:J,"Majeur")</f>
        <v>6</v>
      </c>
      <c r="D26" s="71">
        <f ca="1">SUMIFS(Grille!Q:Q,Grille!A:A,Grille_HT2!A26,Grille!C:C,Grille_HT2!B26,Grille!J:J,"Majeur")</f>
        <v>6</v>
      </c>
      <c r="E26" s="71">
        <f ca="1">SUMIFS(Grille!N:N,Grille!A:A,Grille_HT2!A26,Grille!C:C,Grille_HT2!B26,Grille!J:J,"Majeur")</f>
        <v>0</v>
      </c>
      <c r="F26" s="72">
        <f t="shared" ca="1" si="0"/>
        <v>0</v>
      </c>
      <c r="G26" s="71">
        <f>SUMIFS(Grille!R:R,Grille!A:A,Grille_HT2!A26,Grille!C:C,Grille_HT2!B26,Grille!J:J,"Mineur")</f>
        <v>12</v>
      </c>
      <c r="H26" s="71">
        <f ca="1">SUMIFS(Grille!Q:Q,Grille!A:A,Grille_HT2!A26,Grille!C:C,Grille_HT2!B26,Grille!J:J,"Mineur")</f>
        <v>12</v>
      </c>
      <c r="I26" s="71">
        <f ca="1">SUMIFS(Grille!N:N,Grille!A:A,Grille_HT2!A26,Grille!C:C,Grille_HT2!B26,Grille!J:J,"Mineur")</f>
        <v>0</v>
      </c>
      <c r="J26" s="72">
        <f t="shared" ca="1" si="1"/>
        <v>0</v>
      </c>
      <c r="K26" s="71">
        <v>50</v>
      </c>
      <c r="L26" s="73">
        <f t="shared" ca="1" si="2"/>
        <v>0.5</v>
      </c>
      <c r="M26" s="73">
        <f t="shared" ca="1" si="3"/>
        <v>0.5</v>
      </c>
      <c r="N26" s="73">
        <f ca="1">IF(ISNUMBER(F26),F26*L26,F26)</f>
        <v>0</v>
      </c>
      <c r="O26" s="73">
        <f t="shared" ca="1" si="4"/>
        <v>0</v>
      </c>
      <c r="P26" s="73">
        <f ca="1">IF(ISNUMBER(J26),J26*M26,J26)</f>
        <v>0</v>
      </c>
      <c r="Q26" s="73">
        <f t="shared" ca="1" si="5"/>
        <v>0</v>
      </c>
      <c r="R26" s="77"/>
      <c r="S26" s="75"/>
      <c r="T26" s="75"/>
      <c r="U26" s="75"/>
      <c r="V26" s="76"/>
      <c r="W26" s="76"/>
      <c r="X26" s="76"/>
      <c r="Y26" s="134">
        <f>Y24+1</f>
        <v>18</v>
      </c>
    </row>
    <row r="27" spans="1:25" x14ac:dyDescent="0.3">
      <c r="A27" s="64" t="s">
        <v>686</v>
      </c>
      <c r="B27" s="65" t="s">
        <v>685</v>
      </c>
      <c r="C27" s="71">
        <f>SUMIFS(Grille!R:R,Grille!A:A,Grille_HT2!A27,Grille!C:C,Grille_HT2!B27,Grille!J:J,"Majeur")</f>
        <v>18</v>
      </c>
      <c r="D27" s="71">
        <f ca="1">SUMIFS(Grille!Q:Q,Grille!A:A,Grille_HT2!A27,Grille!C:C,Grille_HT2!B27,Grille!J:J,"Majeur")</f>
        <v>18</v>
      </c>
      <c r="E27" s="71">
        <f ca="1">SUMIFS(Grille!N:N,Grille!A:A,Grille_HT2!A27,Grille!C:C,Grille_HT2!B27,Grille!J:J,"Majeur")</f>
        <v>0</v>
      </c>
      <c r="F27" s="72">
        <f t="shared" ca="1" si="0"/>
        <v>0</v>
      </c>
      <c r="G27" s="71">
        <f>SUMIFS(Grille!R:R,Grille!A:A,Grille_HT2!A27,Grille!C:C,Grille_HT2!B27,Grille!J:J,"Mineur")</f>
        <v>2</v>
      </c>
      <c r="H27" s="71">
        <f ca="1">SUMIFS(Grille!Q:Q,Grille!A:A,Grille_HT2!A27,Grille!C:C,Grille_HT2!B27,Grille!J:J,"Mineur")</f>
        <v>2</v>
      </c>
      <c r="I27" s="71">
        <f ca="1">SUMIFS(Grille!N:N,Grille!A:A,Grille_HT2!A27,Grille!C:C,Grille_HT2!B27,Grille!J:J,"Mineur")</f>
        <v>0</v>
      </c>
      <c r="J27" s="72">
        <f t="shared" ca="1" si="1"/>
        <v>0</v>
      </c>
      <c r="K27" s="71">
        <v>50</v>
      </c>
      <c r="L27" s="73">
        <f t="shared" ca="1" si="2"/>
        <v>0.5</v>
      </c>
      <c r="M27" s="73">
        <f t="shared" ca="1" si="3"/>
        <v>0.5</v>
      </c>
      <c r="N27" s="73">
        <f ca="1">IF(ISNUMBER(F27),F27*L27,F27)</f>
        <v>0</v>
      </c>
      <c r="O27" s="73">
        <f t="shared" ca="1" si="4"/>
        <v>0</v>
      </c>
      <c r="P27" s="73">
        <f ca="1">IF(ISNUMBER(J27),J27*M27,J27)</f>
        <v>0</v>
      </c>
      <c r="Q27" s="73">
        <f t="shared" ca="1" si="5"/>
        <v>0</v>
      </c>
      <c r="R27" s="77"/>
      <c r="S27" s="75"/>
      <c r="T27" s="75"/>
      <c r="U27" s="75"/>
      <c r="V27" s="76"/>
      <c r="W27" s="76"/>
      <c r="X27" s="76"/>
      <c r="Y27" s="134">
        <f t="shared" si="8"/>
        <v>19</v>
      </c>
    </row>
    <row r="28" spans="1:25" ht="25.2" x14ac:dyDescent="0.3">
      <c r="A28" s="4"/>
      <c r="B28" s="4" t="s">
        <v>692</v>
      </c>
      <c r="C28" s="5"/>
      <c r="D28" s="5"/>
      <c r="E28" s="5"/>
      <c r="F28" s="5"/>
      <c r="G28" s="9"/>
      <c r="H28" s="9"/>
      <c r="I28" s="9"/>
      <c r="J28" s="6"/>
      <c r="K28" s="5"/>
      <c r="L28" s="5"/>
      <c r="M28" s="5"/>
      <c r="N28" s="6"/>
      <c r="O28" s="6"/>
      <c r="P28" s="6"/>
      <c r="Q28" s="6"/>
      <c r="R28" s="70">
        <v>3</v>
      </c>
      <c r="S28" s="7" t="str">
        <f t="shared" si="6"/>
        <v>Non appliqué</v>
      </c>
      <c r="T28" s="7" t="str">
        <f ca="1">IFERROR(S28/SUM(S:S),S28)</f>
        <v>Non appliqué</v>
      </c>
      <c r="U28" s="7" t="str">
        <f ca="1">IFERROR(T28*O29,T28)</f>
        <v>Non appliqué</v>
      </c>
      <c r="V28" s="7" t="str">
        <f t="shared" si="7"/>
        <v>Non appliqué</v>
      </c>
      <c r="W28" s="7" t="str">
        <f ca="1">IFERROR(V28/SUM(V:V),V28)</f>
        <v>Non appliqué</v>
      </c>
      <c r="X28" s="7" t="str">
        <f ca="1">IFERROR(W28*Q29,W28)</f>
        <v>Non appliqué</v>
      </c>
    </row>
    <row r="29" spans="1:25" x14ac:dyDescent="0.3">
      <c r="A29" s="64" t="s">
        <v>692</v>
      </c>
      <c r="B29" s="65" t="s">
        <v>682</v>
      </c>
      <c r="C29" s="71">
        <f>SUMIFS(Grille!R:R,Grille!A:A,Grille_HT2!A29,Grille!C:C,Grille_HT2!B29,Grille!J:J,"Majeur")</f>
        <v>0</v>
      </c>
      <c r="D29" s="71">
        <f>SUMIFS(Grille!Q:Q,Grille!A:A,Grille_HT2!A29,Grille!C:C,Grille_HT2!B29,Grille!J:J,"Majeur")</f>
        <v>0</v>
      </c>
      <c r="E29" s="71">
        <f>SUMIFS(Grille!N:N,Grille!A:A,Grille_HT2!A29,Grille!C:C,Grille_HT2!B29,Grille!J:J,"Majeur")</f>
        <v>0</v>
      </c>
      <c r="F29" s="72" t="str">
        <f t="shared" si="0"/>
        <v>Non appliqué</v>
      </c>
      <c r="G29" s="71">
        <f>SUMIFS(Grille!R:R,Grille!A:A,Grille_HT2!A29,Grille!C:C,Grille_HT2!B29,Grille!J:J,"Mineur")</f>
        <v>0</v>
      </c>
      <c r="H29" s="71">
        <f>SUMIFS(Grille!Q:Q,Grille!A:A,Grille_HT2!A29,Grille!C:C,Grille_HT2!B29,Grille!J:J,"Mineur")</f>
        <v>0</v>
      </c>
      <c r="I29" s="71">
        <f>SUMIFS(Grille!N:N,Grille!A:A,Grille_HT2!A29,Grille!C:C,Grille_HT2!B29,Grille!J:J,"Mineur")</f>
        <v>0</v>
      </c>
      <c r="J29" s="72" t="str">
        <f t="shared" si="1"/>
        <v>Non appliqué</v>
      </c>
      <c r="K29" s="71">
        <v>50</v>
      </c>
      <c r="L29" s="73" t="str">
        <f t="shared" si="2"/>
        <v>Non appliqué</v>
      </c>
      <c r="M29" s="73" t="str">
        <f t="shared" si="3"/>
        <v>Non appliqué</v>
      </c>
      <c r="N29" s="73" t="str">
        <f>IF(ISNUMBER(F29),F29*L29,F29)</f>
        <v>Non appliqué</v>
      </c>
      <c r="O29" s="73" t="str">
        <f t="shared" si="4"/>
        <v>Non appliqué</v>
      </c>
      <c r="P29" s="73" t="str">
        <f>IF(ISNUMBER(J29),J29*M29,J29)</f>
        <v>Non appliqué</v>
      </c>
      <c r="Q29" s="73" t="str">
        <f t="shared" si="5"/>
        <v>Non appliqué</v>
      </c>
      <c r="R29" s="77"/>
      <c r="S29" s="75"/>
      <c r="T29" s="75"/>
      <c r="U29" s="75"/>
      <c r="V29" s="76"/>
      <c r="W29" s="76"/>
      <c r="X29" s="76"/>
      <c r="Y29" s="134">
        <f>Y27+1</f>
        <v>20</v>
      </c>
    </row>
    <row r="30" spans="1:25" x14ac:dyDescent="0.3">
      <c r="A30" s="64" t="s">
        <v>692</v>
      </c>
      <c r="B30" s="65" t="s">
        <v>685</v>
      </c>
      <c r="C30" s="71">
        <f>SUMIFS(Grille!R:R,Grille!A:A,Grille_HT2!A30,Grille!C:C,Grille_HT2!B30,Grille!J:J,"Majeur")</f>
        <v>0</v>
      </c>
      <c r="D30" s="71">
        <f>SUMIFS(Grille!Q:Q,Grille!A:A,Grille_HT2!A30,Grille!C:C,Grille_HT2!B30,Grille!J:J,"Majeur")</f>
        <v>0</v>
      </c>
      <c r="E30" s="71">
        <f>SUMIFS(Grille!N:N,Grille!A:A,Grille_HT2!A30,Grille!C:C,Grille_HT2!B30,Grille!J:J,"Majeur")</f>
        <v>0</v>
      </c>
      <c r="F30" s="72" t="str">
        <f t="shared" si="0"/>
        <v>Non appliqué</v>
      </c>
      <c r="G30" s="71">
        <f>SUMIFS(Grille!R:R,Grille!A:A,Grille_HT2!A30,Grille!C:C,Grille_HT2!B30,Grille!J:J,"Mineur")</f>
        <v>0</v>
      </c>
      <c r="H30" s="71">
        <f>SUMIFS(Grille!Q:Q,Grille!A:A,Grille_HT2!A30,Grille!C:C,Grille_HT2!B30,Grille!J:J,"Mineur")</f>
        <v>0</v>
      </c>
      <c r="I30" s="71">
        <f>SUMIFS(Grille!N:N,Grille!A:A,Grille_HT2!A30,Grille!C:C,Grille_HT2!B30,Grille!J:J,"Mineur")</f>
        <v>0</v>
      </c>
      <c r="J30" s="72" t="str">
        <f t="shared" si="1"/>
        <v>Non appliqué</v>
      </c>
      <c r="K30" s="71">
        <v>50</v>
      </c>
      <c r="L30" s="73" t="str">
        <f t="shared" si="2"/>
        <v>Non appliqué</v>
      </c>
      <c r="M30" s="73" t="str">
        <f t="shared" si="3"/>
        <v>Non appliqué</v>
      </c>
      <c r="N30" s="73" t="str">
        <f>IF(ISNUMBER(F30),F30*L30,F30)</f>
        <v>Non appliqué</v>
      </c>
      <c r="O30" s="73" t="str">
        <f t="shared" si="4"/>
        <v>Non appliqué</v>
      </c>
      <c r="P30" s="73" t="str">
        <f>IF(ISNUMBER(J30),J30*M30,J30)</f>
        <v>Non appliqué</v>
      </c>
      <c r="Q30" s="73" t="str">
        <f t="shared" si="5"/>
        <v>Non appliqué</v>
      </c>
      <c r="R30" s="77"/>
      <c r="S30" s="75"/>
      <c r="T30" s="75"/>
      <c r="U30" s="75"/>
      <c r="V30" s="76"/>
      <c r="W30" s="76"/>
      <c r="X30" s="76"/>
      <c r="Y30" s="134">
        <f t="shared" si="8"/>
        <v>21</v>
      </c>
    </row>
    <row r="31" spans="1:25" ht="25.2" x14ac:dyDescent="0.3">
      <c r="A31" s="4"/>
      <c r="B31" s="4" t="str">
        <f>A32</f>
        <v>Bar</v>
      </c>
      <c r="C31" s="5"/>
      <c r="D31" s="5"/>
      <c r="E31" s="5"/>
      <c r="F31" s="5"/>
      <c r="G31" s="9"/>
      <c r="H31" s="9"/>
      <c r="I31" s="9"/>
      <c r="J31" s="6"/>
      <c r="K31" s="5"/>
      <c r="L31" s="5"/>
      <c r="M31" s="5"/>
      <c r="N31" s="6"/>
      <c r="O31" s="6"/>
      <c r="P31" s="6"/>
      <c r="Q31" s="6"/>
      <c r="R31" s="70">
        <v>5</v>
      </c>
      <c r="S31" s="7" t="str">
        <f t="shared" si="6"/>
        <v>Non appliqué</v>
      </c>
      <c r="T31" s="7" t="str">
        <f ca="1">IFERROR(S31/SUM(S:S),S31)</f>
        <v>Non appliqué</v>
      </c>
      <c r="U31" s="7" t="str">
        <f ca="1">IFERROR(T31*O32,T31)</f>
        <v>Non appliqué</v>
      </c>
      <c r="V31" s="7" t="str">
        <f t="shared" si="7"/>
        <v>Non appliqué</v>
      </c>
      <c r="W31" s="7" t="str">
        <f ca="1">IFERROR(V31/SUM(V:V),V31)</f>
        <v>Non appliqué</v>
      </c>
      <c r="X31" s="7" t="str">
        <f ca="1">IFERROR(W31*Q32,W31)</f>
        <v>Non appliqué</v>
      </c>
    </row>
    <row r="32" spans="1:25" x14ac:dyDescent="0.3">
      <c r="A32" s="64" t="s">
        <v>694</v>
      </c>
      <c r="B32" s="64" t="s">
        <v>682</v>
      </c>
      <c r="C32" s="71">
        <f>SUMIFS(Grille!R:R,Grille!A:A,Grille_HT2!A32,Grille!C:C,Grille_HT2!B32,Grille!J:J,"Majeur")</f>
        <v>0</v>
      </c>
      <c r="D32" s="71">
        <f>SUMIFS(Grille!Q:Q,Grille!A:A,Grille_HT2!A32,Grille!C:C,Grille_HT2!B32,Grille!J:J,"Majeur")</f>
        <v>0</v>
      </c>
      <c r="E32" s="71">
        <f>SUMIFS(Grille!N:N,Grille!A:A,Grille_HT2!A32,Grille!C:C,Grille_HT2!B32,Grille!J:J,"Majeur")</f>
        <v>0</v>
      </c>
      <c r="F32" s="72" t="str">
        <f t="shared" si="0"/>
        <v>Non appliqué</v>
      </c>
      <c r="G32" s="71">
        <f>SUMIFS(Grille!R:R,Grille!A:A,Grille_HT2!A32,Grille!C:C,Grille_HT2!B32,Grille!J:J,"Mineur")</f>
        <v>0</v>
      </c>
      <c r="H32" s="71">
        <f>SUMIFS(Grille!Q:Q,Grille!A:A,Grille_HT2!A32,Grille!C:C,Grille_HT2!B32,Grille!J:J,"Mineur")</f>
        <v>0</v>
      </c>
      <c r="I32" s="71">
        <f>SUMIFS(Grille!N:N,Grille!A:A,Grille_HT2!A32,Grille!C:C,Grille_HT2!B32,Grille!J:J,"Mineur")</f>
        <v>0</v>
      </c>
      <c r="J32" s="72" t="str">
        <f t="shared" si="1"/>
        <v>Non appliqué</v>
      </c>
      <c r="K32" s="71">
        <v>50</v>
      </c>
      <c r="L32" s="73" t="str">
        <f t="shared" si="2"/>
        <v>Non appliqué</v>
      </c>
      <c r="M32" s="73" t="str">
        <f t="shared" si="3"/>
        <v>Non appliqué</v>
      </c>
      <c r="N32" s="73" t="str">
        <f>IF(ISNUMBER(F32),F32*L32,F32)</f>
        <v>Non appliqué</v>
      </c>
      <c r="O32" s="73" t="str">
        <f t="shared" si="4"/>
        <v>Non appliqué</v>
      </c>
      <c r="P32" s="73" t="str">
        <f>IF(ISNUMBER(J32),J32*M32,J32)</f>
        <v>Non appliqué</v>
      </c>
      <c r="Q32" s="73" t="str">
        <f t="shared" si="5"/>
        <v>Non appliqué</v>
      </c>
      <c r="R32" s="77"/>
      <c r="S32" s="75"/>
      <c r="T32" s="75"/>
      <c r="U32" s="75"/>
      <c r="V32" s="76"/>
      <c r="W32" s="76"/>
      <c r="X32" s="76"/>
      <c r="Y32" s="134">
        <f>Y30+1</f>
        <v>22</v>
      </c>
    </row>
    <row r="33" spans="1:25" x14ac:dyDescent="0.3">
      <c r="A33" s="64" t="s">
        <v>694</v>
      </c>
      <c r="B33" s="64" t="s">
        <v>685</v>
      </c>
      <c r="C33" s="71">
        <f>SUMIFS(Grille!R:R,Grille!A:A,Grille_HT2!A33,Grille!C:C,Grille_HT2!B33,Grille!J:J,"Majeur")</f>
        <v>0</v>
      </c>
      <c r="D33" s="71">
        <f>SUMIFS(Grille!Q:Q,Grille!A:A,Grille_HT2!A33,Grille!C:C,Grille_HT2!B33,Grille!J:J,"Majeur")</f>
        <v>0</v>
      </c>
      <c r="E33" s="71">
        <f>SUMIFS(Grille!N:N,Grille!A:A,Grille_HT2!A33,Grille!C:C,Grille_HT2!B33,Grille!J:J,"Majeur")</f>
        <v>0</v>
      </c>
      <c r="F33" s="72" t="str">
        <f t="shared" si="0"/>
        <v>Non appliqué</v>
      </c>
      <c r="G33" s="71">
        <f>SUMIFS(Grille!R:R,Grille!A:A,Grille_HT2!A33,Grille!C:C,Grille_HT2!B33,Grille!J:J,"Mineur")</f>
        <v>0</v>
      </c>
      <c r="H33" s="71">
        <f>SUMIFS(Grille!Q:Q,Grille!A:A,Grille_HT2!A33,Grille!C:C,Grille_HT2!B33,Grille!J:J,"Mineur")</f>
        <v>0</v>
      </c>
      <c r="I33" s="71">
        <f>SUMIFS(Grille!N:N,Grille!A:A,Grille_HT2!A33,Grille!C:C,Grille_HT2!B33,Grille!J:J,"Mineur")</f>
        <v>0</v>
      </c>
      <c r="J33" s="72" t="str">
        <f t="shared" si="1"/>
        <v>Non appliqué</v>
      </c>
      <c r="K33" s="71">
        <v>50</v>
      </c>
      <c r="L33" s="73" t="str">
        <f t="shared" si="2"/>
        <v>Non appliqué</v>
      </c>
      <c r="M33" s="73" t="str">
        <f t="shared" si="3"/>
        <v>Non appliqué</v>
      </c>
      <c r="N33" s="73" t="str">
        <f>IF(ISNUMBER(F33),F33*L33,F33)</f>
        <v>Non appliqué</v>
      </c>
      <c r="O33" s="73" t="str">
        <f t="shared" si="4"/>
        <v>Non appliqué</v>
      </c>
      <c r="P33" s="73" t="str">
        <f>IF(ISNUMBER(J33),J33*M33,J33)</f>
        <v>Non appliqué</v>
      </c>
      <c r="Q33" s="73" t="str">
        <f t="shared" si="5"/>
        <v>Non appliqué</v>
      </c>
      <c r="R33" s="77"/>
      <c r="S33" s="75"/>
      <c r="T33" s="75"/>
      <c r="U33" s="75"/>
      <c r="V33" s="76"/>
      <c r="W33" s="76"/>
      <c r="X33" s="76"/>
      <c r="Y33" s="134">
        <f t="shared" si="8"/>
        <v>23</v>
      </c>
    </row>
    <row r="34" spans="1:25" ht="25.2" x14ac:dyDescent="0.3">
      <c r="A34" s="4"/>
      <c r="B34" s="4" t="s">
        <v>699</v>
      </c>
      <c r="C34" s="5"/>
      <c r="D34" s="5"/>
      <c r="E34" s="5"/>
      <c r="F34" s="5"/>
      <c r="G34" s="9"/>
      <c r="H34" s="9"/>
      <c r="I34" s="9"/>
      <c r="J34" s="6"/>
      <c r="K34" s="5"/>
      <c r="L34" s="5"/>
      <c r="M34" s="5"/>
      <c r="N34" s="6"/>
      <c r="O34" s="6"/>
      <c r="P34" s="6"/>
      <c r="Q34" s="6"/>
      <c r="R34" s="70">
        <v>5</v>
      </c>
      <c r="S34" s="7" t="str">
        <f t="shared" si="6"/>
        <v>Non appliqué</v>
      </c>
      <c r="T34" s="7" t="str">
        <f ca="1">IFERROR(S34/SUM(S:S),S34)</f>
        <v>Non appliqué</v>
      </c>
      <c r="U34" s="7" t="str">
        <f ca="1">IFERROR(T34*O35,T34)</f>
        <v>Non appliqué</v>
      </c>
      <c r="V34" s="7" t="str">
        <f t="shared" si="7"/>
        <v>Non appliqué</v>
      </c>
      <c r="W34" s="7" t="str">
        <f ca="1">IFERROR(V34/SUM(V:V),V34)</f>
        <v>Non appliqué</v>
      </c>
      <c r="X34" s="7" t="str">
        <f ca="1">IFERROR(W34*Q35,W34)</f>
        <v>Non appliqué</v>
      </c>
    </row>
    <row r="35" spans="1:25" ht="25.2" x14ac:dyDescent="0.3">
      <c r="A35" s="64" t="s">
        <v>699</v>
      </c>
      <c r="B35" s="64" t="s">
        <v>701</v>
      </c>
      <c r="C35" s="71">
        <f>SUMIFS(Grille!R:R,Grille!A:A,Grille_HT2!A35,Grille!C:C,Grille_HT2!B35,Grille!J:J,"Majeur")</f>
        <v>0</v>
      </c>
      <c r="D35" s="71">
        <f>SUMIFS(Grille!Q:Q,Grille!A:A,Grille_HT2!A35,Grille!C:C,Grille_HT2!B35,Grille!J:J,"Majeur")</f>
        <v>0</v>
      </c>
      <c r="E35" s="71">
        <f>SUMIFS(Grille!N:N,Grille!A:A,Grille_HT2!A35,Grille!C:C,Grille_HT2!B35,Grille!J:J,"Majeur")</f>
        <v>0</v>
      </c>
      <c r="F35" s="72" t="str">
        <f t="shared" si="0"/>
        <v>Non appliqué</v>
      </c>
      <c r="G35" s="71">
        <f>SUMIFS(Grille!R:R,Grille!A:A,Grille_HT2!A35,Grille!C:C,Grille_HT2!B35,Grille!J:J,"Mineur")</f>
        <v>0</v>
      </c>
      <c r="H35" s="71">
        <f>SUMIFS(Grille!Q:Q,Grille!A:A,Grille_HT2!A35,Grille!C:C,Grille_HT2!B35,Grille!J:J,"Mineur")</f>
        <v>0</v>
      </c>
      <c r="I35" s="71">
        <f>SUMIFS(Grille!N:N,Grille!A:A,Grille_HT2!A35,Grille!C:C,Grille_HT2!B35,Grille!J:J,"Mineur")</f>
        <v>0</v>
      </c>
      <c r="J35" s="72" t="str">
        <f t="shared" si="1"/>
        <v>Non appliqué</v>
      </c>
      <c r="K35" s="71">
        <v>40</v>
      </c>
      <c r="L35" s="73" t="str">
        <f t="shared" si="2"/>
        <v>Non appliqué</v>
      </c>
      <c r="M35" s="73" t="str">
        <f t="shared" si="3"/>
        <v>Non appliqué</v>
      </c>
      <c r="N35" s="73" t="str">
        <f>IF(ISNUMBER(F35),F35*L35,F35)</f>
        <v>Non appliqué</v>
      </c>
      <c r="O35" s="73" t="str">
        <f t="shared" si="4"/>
        <v>Non appliqué</v>
      </c>
      <c r="P35" s="73" t="str">
        <f>IF(ISNUMBER(J35),J35*M35,J35)</f>
        <v>Non appliqué</v>
      </c>
      <c r="Q35" s="73" t="str">
        <f t="shared" si="5"/>
        <v>Non appliqué</v>
      </c>
      <c r="R35" s="77"/>
      <c r="S35" s="75"/>
      <c r="T35" s="75"/>
      <c r="U35" s="75"/>
      <c r="V35" s="76"/>
      <c r="W35" s="76"/>
      <c r="X35" s="76"/>
      <c r="Y35" s="134">
        <f>Y33+1</f>
        <v>24</v>
      </c>
    </row>
    <row r="36" spans="1:25" ht="25.2" x14ac:dyDescent="0.3">
      <c r="A36" s="64" t="s">
        <v>699</v>
      </c>
      <c r="B36" s="64" t="s">
        <v>702</v>
      </c>
      <c r="C36" s="71">
        <f>SUMIFS(Grille!R:R,Grille!A:A,Grille_HT2!A36,Grille!C:C,Grille_HT2!B36,Grille!J:J,"Majeur")</f>
        <v>0</v>
      </c>
      <c r="D36" s="71">
        <f>SUMIFS(Grille!Q:Q,Grille!A:A,Grille_HT2!A36,Grille!C:C,Grille_HT2!B36,Grille!J:J,"Majeur")</f>
        <v>0</v>
      </c>
      <c r="E36" s="71">
        <f>SUMIFS(Grille!N:N,Grille!A:A,Grille_HT2!A36,Grille!C:C,Grille_HT2!B36,Grille!J:J,"Majeur")</f>
        <v>0</v>
      </c>
      <c r="F36" s="72" t="str">
        <f t="shared" si="0"/>
        <v>Non appliqué</v>
      </c>
      <c r="G36" s="71">
        <f>SUMIFS(Grille!R:R,Grille!A:A,Grille_HT2!A36,Grille!C:C,Grille_HT2!B36,Grille!J:J,"Mineur")</f>
        <v>0</v>
      </c>
      <c r="H36" s="71">
        <f>SUMIFS(Grille!Q:Q,Grille!A:A,Grille_HT2!A36,Grille!C:C,Grille_HT2!B36,Grille!J:J,"Mineur")</f>
        <v>0</v>
      </c>
      <c r="I36" s="71">
        <f>SUMIFS(Grille!N:N,Grille!A:A,Grille_HT2!A36,Grille!C:C,Grille_HT2!B36,Grille!J:J,"Mineur")</f>
        <v>0</v>
      </c>
      <c r="J36" s="72" t="str">
        <f t="shared" si="1"/>
        <v>Non appliqué</v>
      </c>
      <c r="K36" s="71">
        <v>41</v>
      </c>
      <c r="L36" s="73" t="str">
        <f t="shared" si="2"/>
        <v>Non appliqué</v>
      </c>
      <c r="M36" s="73" t="str">
        <f t="shared" si="3"/>
        <v>Non appliqué</v>
      </c>
      <c r="N36" s="73" t="str">
        <f>IF(ISNUMBER(F36),F36*L36,F36)</f>
        <v>Non appliqué</v>
      </c>
      <c r="O36" s="73" t="str">
        <f t="shared" si="4"/>
        <v>Non appliqué</v>
      </c>
      <c r="P36" s="73" t="str">
        <f>IF(ISNUMBER(J36),J36*M36,J36)</f>
        <v>Non appliqué</v>
      </c>
      <c r="Q36" s="73" t="str">
        <f t="shared" si="5"/>
        <v>Non appliqué</v>
      </c>
      <c r="R36" s="77"/>
      <c r="S36" s="75"/>
      <c r="T36" s="75"/>
      <c r="U36" s="75"/>
      <c r="V36" s="76"/>
      <c r="W36" s="76"/>
      <c r="X36" s="76"/>
      <c r="Y36" s="134">
        <f t="shared" si="8"/>
        <v>25</v>
      </c>
    </row>
    <row r="37" spans="1:25" ht="25.2" x14ac:dyDescent="0.3">
      <c r="A37" s="64" t="s">
        <v>699</v>
      </c>
      <c r="B37" s="64" t="s">
        <v>703</v>
      </c>
      <c r="C37" s="71">
        <f>SUMIFS(Grille!R:R,Grille!A:A,Grille_HT2!A37,Grille!C:C,Grille_HT2!B37,Grille!J:J,"Majeur")</f>
        <v>0</v>
      </c>
      <c r="D37" s="71">
        <f>SUMIFS(Grille!Q:Q,Grille!A:A,Grille_HT2!A37,Grille!C:C,Grille_HT2!B37,Grille!J:J,"Majeur")</f>
        <v>0</v>
      </c>
      <c r="E37" s="71">
        <f>SUMIFS(Grille!N:N,Grille!A:A,Grille_HT2!A37,Grille!C:C,Grille_HT2!B37,Grille!J:J,"Majeur")</f>
        <v>0</v>
      </c>
      <c r="F37" s="72" t="str">
        <f t="shared" si="0"/>
        <v>Non appliqué</v>
      </c>
      <c r="G37" s="71">
        <f>SUMIFS(Grille!R:R,Grille!A:A,Grille_HT2!A37,Grille!C:C,Grille_HT2!B37,Grille!J:J,"Mineur")</f>
        <v>0</v>
      </c>
      <c r="H37" s="71">
        <f>SUMIFS(Grille!Q:Q,Grille!A:A,Grille_HT2!A37,Grille!C:C,Grille_HT2!B37,Grille!J:J,"Mineur")</f>
        <v>0</v>
      </c>
      <c r="I37" s="71">
        <f>SUMIFS(Grille!N:N,Grille!A:A,Grille_HT2!A37,Grille!C:C,Grille_HT2!B37,Grille!J:J,"Mineur")</f>
        <v>0</v>
      </c>
      <c r="J37" s="72" t="str">
        <f t="shared" si="1"/>
        <v>Non appliqué</v>
      </c>
      <c r="K37" s="71">
        <v>42</v>
      </c>
      <c r="L37" s="73" t="str">
        <f t="shared" si="2"/>
        <v>Non appliqué</v>
      </c>
      <c r="M37" s="73" t="str">
        <f t="shared" si="3"/>
        <v>Non appliqué</v>
      </c>
      <c r="N37" s="73" t="str">
        <f>IF(ISNUMBER(F37),F37*L37,F37)</f>
        <v>Non appliqué</v>
      </c>
      <c r="O37" s="73" t="str">
        <f t="shared" si="4"/>
        <v>Non appliqué</v>
      </c>
      <c r="P37" s="73" t="str">
        <f>IF(ISNUMBER(J37),J37*M37,J37)</f>
        <v>Non appliqué</v>
      </c>
      <c r="Q37" s="73" t="str">
        <f t="shared" si="5"/>
        <v>Non appliqué</v>
      </c>
      <c r="R37" s="77"/>
      <c r="S37" s="75"/>
      <c r="T37" s="75"/>
      <c r="U37" s="75"/>
      <c r="V37" s="76"/>
      <c r="W37" s="76"/>
      <c r="X37" s="76"/>
      <c r="Y37" s="134">
        <f t="shared" si="8"/>
        <v>26</v>
      </c>
    </row>
    <row r="38" spans="1:25" ht="25.2" x14ac:dyDescent="0.3">
      <c r="A38" s="4"/>
      <c r="B38" s="4" t="str">
        <f>A39</f>
        <v>Bien-être et fitness</v>
      </c>
      <c r="C38" s="5"/>
      <c r="D38" s="5"/>
      <c r="E38" s="5"/>
      <c r="F38" s="5"/>
      <c r="G38" s="9"/>
      <c r="H38" s="9"/>
      <c r="I38" s="9"/>
      <c r="J38" s="6"/>
      <c r="K38" s="5"/>
      <c r="L38" s="5"/>
      <c r="M38" s="5"/>
      <c r="N38" s="6"/>
      <c r="O38" s="6"/>
      <c r="P38" s="6"/>
      <c r="Q38" s="6"/>
      <c r="R38" s="70">
        <v>5</v>
      </c>
      <c r="S38" s="7" t="str">
        <f t="shared" si="6"/>
        <v>Non appliqué</v>
      </c>
      <c r="T38" s="7" t="str">
        <f ca="1">IFERROR(S38/SUM(S:S),S38)</f>
        <v>Non appliqué</v>
      </c>
      <c r="U38" s="7" t="str">
        <f ca="1">IFERROR(T38*O39,T38)</f>
        <v>Non appliqué</v>
      </c>
      <c r="V38" s="7" t="str">
        <f t="shared" si="7"/>
        <v>Non appliqué</v>
      </c>
      <c r="W38" s="7" t="str">
        <f ca="1">IFERROR(V38/SUM(V:V),V38)</f>
        <v>Non appliqué</v>
      </c>
      <c r="X38" s="7" t="str">
        <f ca="1">IFERROR(W38*Q39,W38)</f>
        <v>Non appliqué</v>
      </c>
    </row>
    <row r="39" spans="1:25" x14ac:dyDescent="0.3">
      <c r="A39" s="64" t="s">
        <v>704</v>
      </c>
      <c r="B39" s="64" t="s">
        <v>706</v>
      </c>
      <c r="C39" s="71">
        <f>SUMIFS(Grille!R:R,Grille!A:A,Grille_HT2!A39,Grille!C:C,Grille_HT2!B39,Grille!J:J,"Majeur")</f>
        <v>0</v>
      </c>
      <c r="D39" s="71">
        <f>SUMIFS(Grille!Q:Q,Grille!A:A,Grille_HT2!A39,Grille!C:C,Grille_HT2!B39,Grille!J:J,"Majeur")</f>
        <v>0</v>
      </c>
      <c r="E39" s="71">
        <f>SUMIFS(Grille!N:N,Grille!A:A,Grille_HT2!A39,Grille!C:C,Grille_HT2!B39,Grille!J:J,"Majeur")</f>
        <v>0</v>
      </c>
      <c r="F39" s="72" t="str">
        <f t="shared" si="0"/>
        <v>Non appliqué</v>
      </c>
      <c r="G39" s="71">
        <f>SUMIFS(Grille!R:R,Grille!A:A,Grille_HT2!A39,Grille!C:C,Grille_HT2!B39,Grille!J:J,"Mineur")</f>
        <v>0</v>
      </c>
      <c r="H39" s="71">
        <f>SUMIFS(Grille!Q:Q,Grille!A:A,Grille_HT2!A39,Grille!C:C,Grille_HT2!B39,Grille!J:J,"Mineur")</f>
        <v>0</v>
      </c>
      <c r="I39" s="71">
        <f>SUMIFS(Grille!N:N,Grille!A:A,Grille_HT2!A39,Grille!C:C,Grille_HT2!B39,Grille!J:J,"Mineur")</f>
        <v>0</v>
      </c>
      <c r="J39" s="72" t="str">
        <f t="shared" si="1"/>
        <v>Non appliqué</v>
      </c>
      <c r="K39" s="71">
        <v>10</v>
      </c>
      <c r="L39" s="73" t="str">
        <f t="shared" si="2"/>
        <v>Non appliqué</v>
      </c>
      <c r="M39" s="73" t="str">
        <f t="shared" si="3"/>
        <v>Non appliqué</v>
      </c>
      <c r="N39" s="73" t="str">
        <f t="shared" ref="N39:N46" si="9">IF(ISNUMBER(F39),F39*L39,F39)</f>
        <v>Non appliqué</v>
      </c>
      <c r="O39" s="73" t="str">
        <f t="shared" si="4"/>
        <v>Non appliqué</v>
      </c>
      <c r="P39" s="73" t="str">
        <f t="shared" ref="P39:P46" si="10">IF(ISNUMBER(J39),J39*M39,J39)</f>
        <v>Non appliqué</v>
      </c>
      <c r="Q39" s="73" t="str">
        <f t="shared" si="5"/>
        <v>Non appliqué</v>
      </c>
      <c r="R39" s="77"/>
      <c r="S39" s="75"/>
      <c r="T39" s="75"/>
      <c r="U39" s="75"/>
      <c r="V39" s="76"/>
      <c r="W39" s="76"/>
      <c r="X39" s="76"/>
      <c r="Y39" s="134">
        <f>Y37+1</f>
        <v>27</v>
      </c>
    </row>
    <row r="40" spans="1:25" x14ac:dyDescent="0.3">
      <c r="A40" s="64" t="s">
        <v>704</v>
      </c>
      <c r="B40" s="64" t="s">
        <v>707</v>
      </c>
      <c r="C40" s="71">
        <f>SUMIFS(Grille!R:R,Grille!A:A,Grille_HT2!A40,Grille!C:C,Grille_HT2!B40,Grille!J:J,"Majeur")</f>
        <v>0</v>
      </c>
      <c r="D40" s="71">
        <f>SUMIFS(Grille!Q:Q,Grille!A:A,Grille_HT2!A40,Grille!C:C,Grille_HT2!B40,Grille!J:J,"Majeur")</f>
        <v>0</v>
      </c>
      <c r="E40" s="71">
        <f>SUMIFS(Grille!N:N,Grille!A:A,Grille_HT2!A40,Grille!C:C,Grille_HT2!B40,Grille!J:J,"Majeur")</f>
        <v>0</v>
      </c>
      <c r="F40" s="72" t="str">
        <f t="shared" si="0"/>
        <v>Non appliqué</v>
      </c>
      <c r="G40" s="71">
        <f>SUMIFS(Grille!R:R,Grille!A:A,Grille_HT2!A40,Grille!C:C,Grille_HT2!B40,Grille!J:J,"Mineur")</f>
        <v>0</v>
      </c>
      <c r="H40" s="71">
        <f>SUMIFS(Grille!Q:Q,Grille!A:A,Grille_HT2!A40,Grille!C:C,Grille_HT2!B40,Grille!J:J,"Mineur")</f>
        <v>0</v>
      </c>
      <c r="I40" s="71">
        <f>SUMIFS(Grille!N:N,Grille!A:A,Grille_HT2!A40,Grille!C:C,Grille_HT2!B40,Grille!J:J,"Mineur")</f>
        <v>0</v>
      </c>
      <c r="J40" s="72" t="str">
        <f t="shared" si="1"/>
        <v>Non appliqué</v>
      </c>
      <c r="K40" s="71">
        <v>10</v>
      </c>
      <c r="L40" s="73" t="str">
        <f t="shared" si="2"/>
        <v>Non appliqué</v>
      </c>
      <c r="M40" s="73" t="str">
        <f t="shared" si="3"/>
        <v>Non appliqué</v>
      </c>
      <c r="N40" s="73" t="str">
        <f t="shared" si="9"/>
        <v>Non appliqué</v>
      </c>
      <c r="O40" s="73" t="str">
        <f t="shared" si="4"/>
        <v>Non appliqué</v>
      </c>
      <c r="P40" s="73" t="str">
        <f t="shared" si="10"/>
        <v>Non appliqué</v>
      </c>
      <c r="Q40" s="73" t="str">
        <f t="shared" si="5"/>
        <v>Non appliqué</v>
      </c>
      <c r="R40" s="77"/>
      <c r="S40" s="75"/>
      <c r="T40" s="75"/>
      <c r="U40" s="75"/>
      <c r="V40" s="76"/>
      <c r="W40" s="76"/>
      <c r="X40" s="76"/>
      <c r="Y40" s="134">
        <f t="shared" si="8"/>
        <v>28</v>
      </c>
    </row>
    <row r="41" spans="1:25" x14ac:dyDescent="0.3">
      <c r="A41" s="64" t="s">
        <v>704</v>
      </c>
      <c r="B41" s="64" t="s">
        <v>709</v>
      </c>
      <c r="C41" s="71">
        <f>SUMIFS(Grille!R:R,Grille!A:A,Grille_HT2!A41,Grille!C:C,Grille_HT2!B41,Grille!J:J,"Majeur")</f>
        <v>0</v>
      </c>
      <c r="D41" s="71">
        <f>SUMIFS(Grille!Q:Q,Grille!A:A,Grille_HT2!A41,Grille!C:C,Grille_HT2!B41,Grille!J:J,"Majeur")</f>
        <v>0</v>
      </c>
      <c r="E41" s="71">
        <f>SUMIFS(Grille!N:N,Grille!A:A,Grille_HT2!A41,Grille!C:C,Grille_HT2!B41,Grille!J:J,"Majeur")</f>
        <v>0</v>
      </c>
      <c r="F41" s="72" t="str">
        <f t="shared" si="0"/>
        <v>Non appliqué</v>
      </c>
      <c r="G41" s="71">
        <f>SUMIFS(Grille!R:R,Grille!A:A,Grille_HT2!A41,Grille!C:C,Grille_HT2!B41,Grille!J:J,"Mineur")</f>
        <v>0</v>
      </c>
      <c r="H41" s="71">
        <f>SUMIFS(Grille!Q:Q,Grille!A:A,Grille_HT2!A41,Grille!C:C,Grille_HT2!B41,Grille!J:J,"Mineur")</f>
        <v>0</v>
      </c>
      <c r="I41" s="71">
        <f>SUMIFS(Grille!N:N,Grille!A:A,Grille_HT2!A41,Grille!C:C,Grille_HT2!B41,Grille!J:J,"Mineur")</f>
        <v>0</v>
      </c>
      <c r="J41" s="72" t="str">
        <f t="shared" si="1"/>
        <v>Non appliqué</v>
      </c>
      <c r="K41" s="71">
        <v>10</v>
      </c>
      <c r="L41" s="73" t="str">
        <f t="shared" si="2"/>
        <v>Non appliqué</v>
      </c>
      <c r="M41" s="73" t="str">
        <f t="shared" si="3"/>
        <v>Non appliqué</v>
      </c>
      <c r="N41" s="73" t="str">
        <f t="shared" si="9"/>
        <v>Non appliqué</v>
      </c>
      <c r="O41" s="73" t="str">
        <f t="shared" si="4"/>
        <v>Non appliqué</v>
      </c>
      <c r="P41" s="73" t="str">
        <f t="shared" si="10"/>
        <v>Non appliqué</v>
      </c>
      <c r="Q41" s="73" t="str">
        <f t="shared" si="5"/>
        <v>Non appliqué</v>
      </c>
      <c r="R41" s="77"/>
      <c r="S41" s="75"/>
      <c r="T41" s="75"/>
      <c r="U41" s="75"/>
      <c r="V41" s="76"/>
      <c r="W41" s="76"/>
      <c r="X41" s="76"/>
      <c r="Y41" s="134">
        <f t="shared" si="8"/>
        <v>29</v>
      </c>
    </row>
    <row r="42" spans="1:25" x14ac:dyDescent="0.3">
      <c r="A42" s="64" t="s">
        <v>704</v>
      </c>
      <c r="B42" s="64" t="s">
        <v>710</v>
      </c>
      <c r="C42" s="71">
        <f>SUMIFS(Grille!R:R,Grille!A:A,Grille_HT2!A42,Grille!C:C,Grille_HT2!B42,Grille!J:J,"Majeur")</f>
        <v>0</v>
      </c>
      <c r="D42" s="71">
        <f>SUMIFS(Grille!Q:Q,Grille!A:A,Grille_HT2!A42,Grille!C:C,Grille_HT2!B42,Grille!J:J,"Majeur")</f>
        <v>0</v>
      </c>
      <c r="E42" s="71">
        <f>SUMIFS(Grille!N:N,Grille!A:A,Grille_HT2!A42,Grille!C:C,Grille_HT2!B42,Grille!J:J,"Majeur")</f>
        <v>0</v>
      </c>
      <c r="F42" s="72" t="str">
        <f t="shared" si="0"/>
        <v>Non appliqué</v>
      </c>
      <c r="G42" s="71">
        <f>SUMIFS(Grille!R:R,Grille!A:A,Grille_HT2!A42,Grille!C:C,Grille_HT2!B42,Grille!J:J,"Mineur")</f>
        <v>0</v>
      </c>
      <c r="H42" s="71">
        <f>SUMIFS(Grille!Q:Q,Grille!A:A,Grille_HT2!A42,Grille!C:C,Grille_HT2!B42,Grille!J:J,"Mineur")</f>
        <v>0</v>
      </c>
      <c r="I42" s="71">
        <f>SUMIFS(Grille!N:N,Grille!A:A,Grille_HT2!A42,Grille!C:C,Grille_HT2!B42,Grille!J:J,"Mineur")</f>
        <v>0</v>
      </c>
      <c r="J42" s="72" t="str">
        <f t="shared" si="1"/>
        <v>Non appliqué</v>
      </c>
      <c r="K42" s="71">
        <v>15</v>
      </c>
      <c r="L42" s="73" t="str">
        <f t="shared" si="2"/>
        <v>Non appliqué</v>
      </c>
      <c r="M42" s="73" t="str">
        <f t="shared" si="3"/>
        <v>Non appliqué</v>
      </c>
      <c r="N42" s="73" t="str">
        <f t="shared" si="9"/>
        <v>Non appliqué</v>
      </c>
      <c r="O42" s="73" t="str">
        <f t="shared" si="4"/>
        <v>Non appliqué</v>
      </c>
      <c r="P42" s="73" t="str">
        <f t="shared" si="10"/>
        <v>Non appliqué</v>
      </c>
      <c r="Q42" s="73" t="str">
        <f t="shared" si="5"/>
        <v>Non appliqué</v>
      </c>
      <c r="R42" s="77"/>
      <c r="S42" s="75"/>
      <c r="T42" s="75"/>
      <c r="U42" s="75"/>
      <c r="V42" s="76"/>
      <c r="W42" s="76"/>
      <c r="X42" s="76"/>
      <c r="Y42" s="134">
        <f t="shared" si="8"/>
        <v>30</v>
      </c>
    </row>
    <row r="43" spans="1:25" x14ac:dyDescent="0.3">
      <c r="A43" s="64" t="s">
        <v>704</v>
      </c>
      <c r="B43" s="64" t="s">
        <v>712</v>
      </c>
      <c r="C43" s="71">
        <f>SUMIFS(Grille!R:R,Grille!A:A,Grille_HT2!A43,Grille!C:C,Grille_HT2!B43,Grille!J:J,"Majeur")</f>
        <v>0</v>
      </c>
      <c r="D43" s="71">
        <f>SUMIFS(Grille!Q:Q,Grille!A:A,Grille_HT2!A43,Grille!C:C,Grille_HT2!B43,Grille!J:J,"Majeur")</f>
        <v>0</v>
      </c>
      <c r="E43" s="71">
        <f>SUMIFS(Grille!N:N,Grille!A:A,Grille_HT2!A43,Grille!C:C,Grille_HT2!B43,Grille!J:J,"Majeur")</f>
        <v>0</v>
      </c>
      <c r="F43" s="72" t="str">
        <f t="shared" si="0"/>
        <v>Non appliqué</v>
      </c>
      <c r="G43" s="71">
        <f>SUMIFS(Grille!R:R,Grille!A:A,Grille_HT2!A43,Grille!C:C,Grille_HT2!B43,Grille!J:J,"Mineur")</f>
        <v>0</v>
      </c>
      <c r="H43" s="71">
        <f>SUMIFS(Grille!Q:Q,Grille!A:A,Grille_HT2!A43,Grille!C:C,Grille_HT2!B43,Grille!J:J,"Mineur")</f>
        <v>0</v>
      </c>
      <c r="I43" s="71">
        <f>SUMIFS(Grille!N:N,Grille!A:A,Grille_HT2!A43,Grille!C:C,Grille_HT2!B43,Grille!J:J,"Mineur")</f>
        <v>0</v>
      </c>
      <c r="J43" s="72" t="str">
        <f t="shared" si="1"/>
        <v>Non appliqué</v>
      </c>
      <c r="K43" s="71">
        <v>5</v>
      </c>
      <c r="L43" s="73" t="str">
        <f t="shared" si="2"/>
        <v>Non appliqué</v>
      </c>
      <c r="M43" s="73" t="str">
        <f t="shared" si="3"/>
        <v>Non appliqué</v>
      </c>
      <c r="N43" s="73" t="str">
        <f t="shared" si="9"/>
        <v>Non appliqué</v>
      </c>
      <c r="O43" s="73" t="str">
        <f t="shared" si="4"/>
        <v>Non appliqué</v>
      </c>
      <c r="P43" s="73" t="str">
        <f t="shared" si="10"/>
        <v>Non appliqué</v>
      </c>
      <c r="Q43" s="73" t="str">
        <f t="shared" si="5"/>
        <v>Non appliqué</v>
      </c>
      <c r="R43" s="77"/>
      <c r="S43" s="75"/>
      <c r="T43" s="75"/>
      <c r="U43" s="75"/>
      <c r="V43" s="76"/>
      <c r="W43" s="76"/>
      <c r="X43" s="76"/>
      <c r="Y43" s="134">
        <f t="shared" si="8"/>
        <v>31</v>
      </c>
    </row>
    <row r="44" spans="1:25" x14ac:dyDescent="0.3">
      <c r="A44" s="64" t="s">
        <v>704</v>
      </c>
      <c r="B44" s="64" t="s">
        <v>715</v>
      </c>
      <c r="C44" s="71">
        <f>SUMIFS(Grille!R:R,Grille!A:A,Grille_HT2!A44,Grille!C:C,Grille_HT2!B44,Grille!J:J,"Majeur")</f>
        <v>0</v>
      </c>
      <c r="D44" s="71">
        <f>SUMIFS(Grille!Q:Q,Grille!A:A,Grille_HT2!A44,Grille!C:C,Grille_HT2!B44,Grille!J:J,"Majeur")</f>
        <v>0</v>
      </c>
      <c r="E44" s="71">
        <f>SUMIFS(Grille!N:N,Grille!A:A,Grille_HT2!A44,Grille!C:C,Grille_HT2!B44,Grille!J:J,"Majeur")</f>
        <v>0</v>
      </c>
      <c r="F44" s="72" t="str">
        <f t="shared" si="0"/>
        <v>Non appliqué</v>
      </c>
      <c r="G44" s="71">
        <f>SUMIFS(Grille!R:R,Grille!A:A,Grille_HT2!A44,Grille!C:C,Grille_HT2!B44,Grille!J:J,"Mineur")</f>
        <v>0</v>
      </c>
      <c r="H44" s="71">
        <f>SUMIFS(Grille!Q:Q,Grille!A:A,Grille_HT2!A44,Grille!C:C,Grille_HT2!B44,Grille!J:J,"Mineur")</f>
        <v>0</v>
      </c>
      <c r="I44" s="71">
        <f>SUMIFS(Grille!N:N,Grille!A:A,Grille_HT2!A44,Grille!C:C,Grille_HT2!B44,Grille!J:J,"Mineur")</f>
        <v>0</v>
      </c>
      <c r="J44" s="72" t="str">
        <f t="shared" si="1"/>
        <v>Non appliqué</v>
      </c>
      <c r="K44" s="71">
        <v>10</v>
      </c>
      <c r="L44" s="73" t="str">
        <f t="shared" si="2"/>
        <v>Non appliqué</v>
      </c>
      <c r="M44" s="73" t="str">
        <f t="shared" si="3"/>
        <v>Non appliqué</v>
      </c>
      <c r="N44" s="73" t="str">
        <f t="shared" si="9"/>
        <v>Non appliqué</v>
      </c>
      <c r="O44" s="73" t="str">
        <f t="shared" si="4"/>
        <v>Non appliqué</v>
      </c>
      <c r="P44" s="73" t="str">
        <f t="shared" si="10"/>
        <v>Non appliqué</v>
      </c>
      <c r="Q44" s="73" t="str">
        <f t="shared" si="5"/>
        <v>Non appliqué</v>
      </c>
      <c r="R44" s="77"/>
      <c r="S44" s="75"/>
      <c r="T44" s="75"/>
      <c r="U44" s="75"/>
      <c r="V44" s="76"/>
      <c r="W44" s="76"/>
      <c r="X44" s="76"/>
      <c r="Y44" s="134">
        <f t="shared" si="8"/>
        <v>32</v>
      </c>
    </row>
    <row r="45" spans="1:25" x14ac:dyDescent="0.3">
      <c r="A45" s="64" t="s">
        <v>704</v>
      </c>
      <c r="B45" s="64" t="s">
        <v>717</v>
      </c>
      <c r="C45" s="71">
        <f>SUMIFS(Grille!R:R,Grille!A:A,Grille_HT2!A45,Grille!C:C,Grille_HT2!B45,Grille!J:J,"Majeur")</f>
        <v>0</v>
      </c>
      <c r="D45" s="71">
        <f>SUMIFS(Grille!Q:Q,Grille!A:A,Grille_HT2!A45,Grille!C:C,Grille_HT2!B45,Grille!J:J,"Majeur")</f>
        <v>0</v>
      </c>
      <c r="E45" s="71">
        <f>SUMIFS(Grille!N:N,Grille!A:A,Grille_HT2!A45,Grille!C:C,Grille_HT2!B45,Grille!J:J,"Majeur")</f>
        <v>0</v>
      </c>
      <c r="F45" s="72" t="str">
        <f t="shared" si="0"/>
        <v>Non appliqué</v>
      </c>
      <c r="G45" s="71">
        <f>SUMIFS(Grille!R:R,Grille!A:A,Grille_HT2!A45,Grille!C:C,Grille_HT2!B45,Grille!J:J,"Mineur")</f>
        <v>0</v>
      </c>
      <c r="H45" s="71">
        <f>SUMIFS(Grille!Q:Q,Grille!A:A,Grille_HT2!A45,Grille!C:C,Grille_HT2!B45,Grille!J:J,"Mineur")</f>
        <v>0</v>
      </c>
      <c r="I45" s="71">
        <f>SUMIFS(Grille!N:N,Grille!A:A,Grille_HT2!A45,Grille!C:C,Grille_HT2!B45,Grille!J:J,"Mineur")</f>
        <v>0</v>
      </c>
      <c r="J45" s="72" t="str">
        <f t="shared" si="1"/>
        <v>Non appliqué</v>
      </c>
      <c r="K45" s="71">
        <v>25</v>
      </c>
      <c r="L45" s="73" t="str">
        <f t="shared" si="2"/>
        <v>Non appliqué</v>
      </c>
      <c r="M45" s="73" t="str">
        <f t="shared" si="3"/>
        <v>Non appliqué</v>
      </c>
      <c r="N45" s="73" t="str">
        <f t="shared" si="9"/>
        <v>Non appliqué</v>
      </c>
      <c r="O45" s="73" t="str">
        <f t="shared" si="4"/>
        <v>Non appliqué</v>
      </c>
      <c r="P45" s="73" t="str">
        <f t="shared" si="10"/>
        <v>Non appliqué</v>
      </c>
      <c r="Q45" s="73" t="str">
        <f t="shared" si="5"/>
        <v>Non appliqué</v>
      </c>
      <c r="R45" s="77"/>
      <c r="S45" s="75"/>
      <c r="T45" s="75"/>
      <c r="U45" s="75"/>
      <c r="V45" s="76"/>
      <c r="W45" s="76"/>
      <c r="X45" s="76"/>
      <c r="Y45" s="134">
        <f t="shared" si="8"/>
        <v>33</v>
      </c>
    </row>
    <row r="46" spans="1:25" x14ac:dyDescent="0.3">
      <c r="A46" s="64" t="s">
        <v>704</v>
      </c>
      <c r="B46" s="64" t="s">
        <v>718</v>
      </c>
      <c r="C46" s="71">
        <f>SUMIFS(Grille!R:R,Grille!A:A,Grille_HT2!A46,Grille!C:C,Grille_HT2!B46,Grille!J:J,"Majeur")</f>
        <v>0</v>
      </c>
      <c r="D46" s="71">
        <f>SUMIFS(Grille!Q:Q,Grille!A:A,Grille_HT2!A46,Grille!C:C,Grille_HT2!B46,Grille!J:J,"Majeur")</f>
        <v>0</v>
      </c>
      <c r="E46" s="71">
        <f>SUMIFS(Grille!N:N,Grille!A:A,Grille_HT2!A46,Grille!C:C,Grille_HT2!B46,Grille!J:J,"Majeur")</f>
        <v>0</v>
      </c>
      <c r="F46" s="72" t="str">
        <f t="shared" si="0"/>
        <v>Non appliqué</v>
      </c>
      <c r="G46" s="71">
        <f>SUMIFS(Grille!R:R,Grille!A:A,Grille_HT2!A46,Grille!C:C,Grille_HT2!B46,Grille!J:J,"Mineur")</f>
        <v>0</v>
      </c>
      <c r="H46" s="71">
        <f>SUMIFS(Grille!Q:Q,Grille!A:A,Grille_HT2!A46,Grille!C:C,Grille_HT2!B46,Grille!J:J,"Mineur")</f>
        <v>0</v>
      </c>
      <c r="I46" s="71">
        <f>SUMIFS(Grille!N:N,Grille!A:A,Grille_HT2!A46,Grille!C:C,Grille_HT2!B46,Grille!J:J,"Mineur")</f>
        <v>0</v>
      </c>
      <c r="J46" s="72" t="str">
        <f t="shared" si="1"/>
        <v>Non appliqué</v>
      </c>
      <c r="K46" s="71">
        <v>15</v>
      </c>
      <c r="L46" s="73" t="str">
        <f t="shared" si="2"/>
        <v>Non appliqué</v>
      </c>
      <c r="M46" s="73" t="str">
        <f t="shared" si="3"/>
        <v>Non appliqué</v>
      </c>
      <c r="N46" s="73" t="str">
        <f t="shared" si="9"/>
        <v>Non appliqué</v>
      </c>
      <c r="O46" s="73" t="str">
        <f t="shared" si="4"/>
        <v>Non appliqué</v>
      </c>
      <c r="P46" s="73" t="str">
        <f t="shared" si="10"/>
        <v>Non appliqué</v>
      </c>
      <c r="Q46" s="73" t="str">
        <f t="shared" si="5"/>
        <v>Non appliqué</v>
      </c>
      <c r="R46" s="77"/>
      <c r="S46" s="75"/>
      <c r="T46" s="75"/>
      <c r="U46" s="75"/>
      <c r="V46" s="76"/>
      <c r="W46" s="76"/>
      <c r="X46" s="76"/>
      <c r="Y46" s="134">
        <f t="shared" si="8"/>
        <v>34</v>
      </c>
    </row>
    <row r="47" spans="1:25" ht="25.2" x14ac:dyDescent="0.3">
      <c r="A47" s="4"/>
      <c r="B47" s="4" t="str">
        <f>A48</f>
        <v>Piscine extérieure</v>
      </c>
      <c r="C47" s="5"/>
      <c r="D47" s="5"/>
      <c r="E47" s="5"/>
      <c r="F47" s="5"/>
      <c r="G47" s="9"/>
      <c r="H47" s="9"/>
      <c r="I47" s="9"/>
      <c r="J47" s="6"/>
      <c r="K47" s="5"/>
      <c r="L47" s="5"/>
      <c r="M47" s="5"/>
      <c r="N47" s="6"/>
      <c r="O47" s="6"/>
      <c r="P47" s="6"/>
      <c r="Q47" s="6"/>
      <c r="R47" s="70">
        <v>5</v>
      </c>
      <c r="S47" s="7" t="str">
        <f t="shared" si="6"/>
        <v>Non appliqué</v>
      </c>
      <c r="T47" s="7" t="str">
        <f ca="1">IFERROR(S47/SUM(S:S),S47)</f>
        <v>Non appliqué</v>
      </c>
      <c r="U47" s="7" t="str">
        <f ca="1">IFERROR(T47*O48,T47)</f>
        <v>Non appliqué</v>
      </c>
      <c r="V47" s="7" t="str">
        <f t="shared" si="7"/>
        <v>Non appliqué</v>
      </c>
      <c r="W47" s="7" t="str">
        <f ca="1">IFERROR(V47/SUM(V:V),V47)</f>
        <v>Non appliqué</v>
      </c>
      <c r="X47" s="7" t="str">
        <f ca="1">IFERROR(W47*Q48,W47)</f>
        <v>Non appliqué</v>
      </c>
    </row>
    <row r="48" spans="1:25" x14ac:dyDescent="0.3">
      <c r="A48" s="64" t="s">
        <v>21</v>
      </c>
      <c r="B48" s="64" t="s">
        <v>682</v>
      </c>
      <c r="C48" s="71">
        <f>SUMIFS(Grille!R:R,Grille!A:A,Grille_HT2!A48,Grille!C:C,Grille_HT2!B48,Grille!J:J,"Majeur")</f>
        <v>0</v>
      </c>
      <c r="D48" s="71">
        <f>SUMIFS(Grille!Q:Q,Grille!A:A,Grille_HT2!A48,Grille!C:C,Grille_HT2!B48,Grille!J:J,"Majeur")</f>
        <v>0</v>
      </c>
      <c r="E48" s="71">
        <f>SUMIFS(Grille!N:N,Grille!A:A,Grille_HT2!A48,Grille!C:C,Grille_HT2!B48,Grille!J:J,"Majeur")</f>
        <v>0</v>
      </c>
      <c r="F48" s="72" t="str">
        <f t="shared" si="0"/>
        <v>Non appliqué</v>
      </c>
      <c r="G48" s="71">
        <f>SUMIFS(Grille!R:R,Grille!A:A,Grille_HT2!A48,Grille!C:C,Grille_HT2!B48,Grille!J:J,"Mineur")</f>
        <v>0</v>
      </c>
      <c r="H48" s="71">
        <f>SUMIFS(Grille!Q:Q,Grille!A:A,Grille_HT2!A48,Grille!C:C,Grille_HT2!B48,Grille!J:J,"Mineur")</f>
        <v>0</v>
      </c>
      <c r="I48" s="71">
        <f>SUMIFS(Grille!N:N,Grille!A:A,Grille_HT2!A48,Grille!C:C,Grille_HT2!B48,Grille!J:J,"Mineur")</f>
        <v>0</v>
      </c>
      <c r="J48" s="72" t="str">
        <f t="shared" si="1"/>
        <v>Non appliqué</v>
      </c>
      <c r="K48" s="71">
        <v>30</v>
      </c>
      <c r="L48" s="73" t="str">
        <f t="shared" si="2"/>
        <v>Non appliqué</v>
      </c>
      <c r="M48" s="73" t="str">
        <f t="shared" si="3"/>
        <v>Non appliqué</v>
      </c>
      <c r="N48" s="73" t="str">
        <f>IF(ISNUMBER(F48),F48*L48,F48)</f>
        <v>Non appliqué</v>
      </c>
      <c r="O48" s="73" t="str">
        <f t="shared" si="4"/>
        <v>Non appliqué</v>
      </c>
      <c r="P48" s="73" t="str">
        <f>IF(ISNUMBER(J48),J48*M48,J48)</f>
        <v>Non appliqué</v>
      </c>
      <c r="Q48" s="73" t="str">
        <f t="shared" si="5"/>
        <v>Non appliqué</v>
      </c>
      <c r="R48" s="77"/>
      <c r="S48" s="75"/>
      <c r="T48" s="75"/>
      <c r="U48" s="75"/>
      <c r="V48" s="76"/>
      <c r="W48" s="76"/>
      <c r="X48" s="76"/>
      <c r="Y48" s="134">
        <f>Y46+1</f>
        <v>35</v>
      </c>
    </row>
    <row r="49" spans="1:25" x14ac:dyDescent="0.3">
      <c r="A49" s="64" t="s">
        <v>21</v>
      </c>
      <c r="B49" s="64" t="s">
        <v>720</v>
      </c>
      <c r="C49" s="71">
        <f>SUMIFS(Grille!R:R,Grille!A:A,Grille_HT2!A49,Grille!C:C,Grille_HT2!B49,Grille!J:J,"Majeur")</f>
        <v>0</v>
      </c>
      <c r="D49" s="71">
        <f>SUMIFS(Grille!Q:Q,Grille!A:A,Grille_HT2!A49,Grille!C:C,Grille_HT2!B49,Grille!J:J,"Majeur")</f>
        <v>0</v>
      </c>
      <c r="E49" s="71">
        <f>SUMIFS(Grille!N:N,Grille!A:A,Grille_HT2!A49,Grille!C:C,Grille_HT2!B49,Grille!J:J,"Majeur")</f>
        <v>0</v>
      </c>
      <c r="F49" s="72" t="str">
        <f t="shared" si="0"/>
        <v>Non appliqué</v>
      </c>
      <c r="G49" s="71">
        <f>SUMIFS(Grille!R:R,Grille!A:A,Grille_HT2!A49,Grille!C:C,Grille_HT2!B49,Grille!J:J,"Mineur")</f>
        <v>0</v>
      </c>
      <c r="H49" s="71">
        <f>SUMIFS(Grille!Q:Q,Grille!A:A,Grille_HT2!A49,Grille!C:C,Grille_HT2!B49,Grille!J:J,"Mineur")</f>
        <v>0</v>
      </c>
      <c r="I49" s="71">
        <f>SUMIFS(Grille!N:N,Grille!A:A,Grille_HT2!A49,Grille!C:C,Grille_HT2!B49,Grille!J:J,"Mineur")</f>
        <v>0</v>
      </c>
      <c r="J49" s="72" t="str">
        <f t="shared" si="1"/>
        <v>Non appliqué</v>
      </c>
      <c r="K49" s="71">
        <v>25</v>
      </c>
      <c r="L49" s="73" t="str">
        <f t="shared" si="2"/>
        <v>Non appliqué</v>
      </c>
      <c r="M49" s="73" t="str">
        <f t="shared" si="3"/>
        <v>Non appliqué</v>
      </c>
      <c r="N49" s="73" t="str">
        <f>IF(ISNUMBER(F49),F49*L49,F49)</f>
        <v>Non appliqué</v>
      </c>
      <c r="O49" s="73" t="str">
        <f t="shared" si="4"/>
        <v>Non appliqué</v>
      </c>
      <c r="P49" s="73" t="str">
        <f>IF(ISNUMBER(J49),J49*M49,J49)</f>
        <v>Non appliqué</v>
      </c>
      <c r="Q49" s="73" t="str">
        <f t="shared" si="5"/>
        <v>Non appliqué</v>
      </c>
      <c r="R49" s="77"/>
      <c r="S49" s="75"/>
      <c r="T49" s="75"/>
      <c r="U49" s="75"/>
      <c r="V49" s="76"/>
      <c r="W49" s="76"/>
      <c r="X49" s="76"/>
      <c r="Y49" s="134">
        <f t="shared" si="8"/>
        <v>36</v>
      </c>
    </row>
    <row r="50" spans="1:25" x14ac:dyDescent="0.3">
      <c r="A50" s="64" t="s">
        <v>21</v>
      </c>
      <c r="B50" s="64" t="s">
        <v>722</v>
      </c>
      <c r="C50" s="71">
        <f>SUMIFS(Grille!R:R,Grille!A:A,Grille_HT2!A50,Grille!C:C,Grille_HT2!B50,Grille!J:J,"Majeur")</f>
        <v>0</v>
      </c>
      <c r="D50" s="71">
        <f>SUMIFS(Grille!Q:Q,Grille!A:A,Grille_HT2!A50,Grille!C:C,Grille_HT2!B50,Grille!J:J,"Majeur")</f>
        <v>0</v>
      </c>
      <c r="E50" s="71">
        <f>SUMIFS(Grille!N:N,Grille!A:A,Grille_HT2!A50,Grille!C:C,Grille_HT2!B50,Grille!J:J,"Majeur")</f>
        <v>0</v>
      </c>
      <c r="F50" s="72" t="str">
        <f t="shared" si="0"/>
        <v>Non appliqué</v>
      </c>
      <c r="G50" s="71">
        <f>SUMIFS(Grille!R:R,Grille!A:A,Grille_HT2!A50,Grille!C:C,Grille_HT2!B50,Grille!J:J,"Mineur")</f>
        <v>0</v>
      </c>
      <c r="H50" s="71">
        <f>SUMIFS(Grille!Q:Q,Grille!A:A,Grille_HT2!A50,Grille!C:C,Grille_HT2!B50,Grille!J:J,"Mineur")</f>
        <v>0</v>
      </c>
      <c r="I50" s="71">
        <f>SUMIFS(Grille!N:N,Grille!A:A,Grille_HT2!A50,Grille!C:C,Grille_HT2!B50,Grille!J:J,"Mineur")</f>
        <v>0</v>
      </c>
      <c r="J50" s="72" t="str">
        <f t="shared" si="1"/>
        <v>Non appliqué</v>
      </c>
      <c r="K50" s="71">
        <v>25</v>
      </c>
      <c r="L50" s="73" t="str">
        <f t="shared" si="2"/>
        <v>Non appliqué</v>
      </c>
      <c r="M50" s="73" t="str">
        <f t="shared" si="3"/>
        <v>Non appliqué</v>
      </c>
      <c r="N50" s="73" t="str">
        <f>IF(ISNUMBER(F50),F50*L50,F50)</f>
        <v>Non appliqué</v>
      </c>
      <c r="O50" s="73" t="str">
        <f t="shared" si="4"/>
        <v>Non appliqué</v>
      </c>
      <c r="P50" s="73" t="str">
        <f>IF(ISNUMBER(J50),J50*M50,J50)</f>
        <v>Non appliqué</v>
      </c>
      <c r="Q50" s="73" t="str">
        <f t="shared" si="5"/>
        <v>Non appliqué</v>
      </c>
      <c r="R50" s="77"/>
      <c r="S50" s="75"/>
      <c r="T50" s="75"/>
      <c r="U50" s="75"/>
      <c r="V50" s="76"/>
      <c r="W50" s="76"/>
      <c r="X50" s="76"/>
      <c r="Y50" s="134">
        <f t="shared" si="8"/>
        <v>37</v>
      </c>
    </row>
    <row r="51" spans="1:25" x14ac:dyDescent="0.3">
      <c r="A51" s="64" t="s">
        <v>21</v>
      </c>
      <c r="B51" s="64" t="s">
        <v>724</v>
      </c>
      <c r="C51" s="71">
        <f>SUMIFS(Grille!R:R,Grille!A:A,Grille_HT2!A51,Grille!C:C,Grille_HT2!B51,Grille!J:J,"Majeur")</f>
        <v>0</v>
      </c>
      <c r="D51" s="71">
        <f>SUMIFS(Grille!Q:Q,Grille!A:A,Grille_HT2!A51,Grille!C:C,Grille_HT2!B51,Grille!J:J,"Majeur")</f>
        <v>0</v>
      </c>
      <c r="E51" s="71">
        <f>SUMIFS(Grille!N:N,Grille!A:A,Grille_HT2!A51,Grille!C:C,Grille_HT2!B51,Grille!J:J,"Majeur")</f>
        <v>0</v>
      </c>
      <c r="F51" s="72" t="str">
        <f t="shared" si="0"/>
        <v>Non appliqué</v>
      </c>
      <c r="G51" s="71">
        <f>SUMIFS(Grille!R:R,Grille!A:A,Grille_HT2!A51,Grille!C:C,Grille_HT2!B51,Grille!J:J,"Mineur")</f>
        <v>0</v>
      </c>
      <c r="H51" s="71">
        <f>SUMIFS(Grille!Q:Q,Grille!A:A,Grille_HT2!A51,Grille!C:C,Grille_HT2!B51,Grille!J:J,"Mineur")</f>
        <v>0</v>
      </c>
      <c r="I51" s="71">
        <f>SUMIFS(Grille!N:N,Grille!A:A,Grille_HT2!A51,Grille!C:C,Grille_HT2!B51,Grille!J:J,"Mineur")</f>
        <v>0</v>
      </c>
      <c r="J51" s="72" t="str">
        <f t="shared" si="1"/>
        <v>Non appliqué</v>
      </c>
      <c r="K51" s="71">
        <v>10</v>
      </c>
      <c r="L51" s="73" t="str">
        <f t="shared" si="2"/>
        <v>Non appliqué</v>
      </c>
      <c r="M51" s="73" t="str">
        <f t="shared" si="3"/>
        <v>Non appliqué</v>
      </c>
      <c r="N51" s="73" t="str">
        <f>IF(ISNUMBER(F51),F51*L51,F51)</f>
        <v>Non appliqué</v>
      </c>
      <c r="O51" s="73" t="str">
        <f t="shared" si="4"/>
        <v>Non appliqué</v>
      </c>
      <c r="P51" s="73" t="str">
        <f>IF(ISNUMBER(J51),J51*M51,J51)</f>
        <v>Non appliqué</v>
      </c>
      <c r="Q51" s="73" t="str">
        <f t="shared" si="5"/>
        <v>Non appliqué</v>
      </c>
      <c r="R51" s="77"/>
      <c r="S51" s="75"/>
      <c r="T51" s="75"/>
      <c r="U51" s="75"/>
      <c r="V51" s="76"/>
      <c r="W51" s="76"/>
      <c r="X51" s="76"/>
      <c r="Y51" s="134">
        <f t="shared" si="8"/>
        <v>38</v>
      </c>
    </row>
    <row r="52" spans="1:25" x14ac:dyDescent="0.3">
      <c r="A52" s="64" t="s">
        <v>21</v>
      </c>
      <c r="B52" s="64" t="s">
        <v>725</v>
      </c>
      <c r="C52" s="71">
        <f>SUMIFS(Grille!R:R,Grille!A:A,Grille_HT2!A52,Grille!C:C,Grille_HT2!B52,Grille!J:J,"Majeur")</f>
        <v>0</v>
      </c>
      <c r="D52" s="71">
        <f>SUMIFS(Grille!Q:Q,Grille!A:A,Grille_HT2!A52,Grille!C:C,Grille_HT2!B52,Grille!J:J,"Majeur")</f>
        <v>0</v>
      </c>
      <c r="E52" s="71">
        <f>SUMIFS(Grille!N:N,Grille!A:A,Grille_HT2!A52,Grille!C:C,Grille_HT2!B52,Grille!J:J,"Majeur")</f>
        <v>0</v>
      </c>
      <c r="F52" s="72" t="str">
        <f t="shared" si="0"/>
        <v>Non appliqué</v>
      </c>
      <c r="G52" s="71">
        <f>SUMIFS(Grille!R:R,Grille!A:A,Grille_HT2!A52,Grille!C:C,Grille_HT2!B52,Grille!J:J,"Mineur")</f>
        <v>0</v>
      </c>
      <c r="H52" s="71">
        <f>SUMIFS(Grille!Q:Q,Grille!A:A,Grille_HT2!A52,Grille!C:C,Grille_HT2!B52,Grille!J:J,"Mineur")</f>
        <v>0</v>
      </c>
      <c r="I52" s="71">
        <f>SUMIFS(Grille!N:N,Grille!A:A,Grille_HT2!A52,Grille!C:C,Grille_HT2!B52,Grille!J:J,"Mineur")</f>
        <v>0</v>
      </c>
      <c r="J52" s="72" t="str">
        <f t="shared" si="1"/>
        <v>Non appliqué</v>
      </c>
      <c r="K52" s="71">
        <v>10</v>
      </c>
      <c r="L52" s="73" t="str">
        <f t="shared" si="2"/>
        <v>Non appliqué</v>
      </c>
      <c r="M52" s="73" t="str">
        <f t="shared" si="3"/>
        <v>Non appliqué</v>
      </c>
      <c r="N52" s="73" t="str">
        <f>IF(ISNUMBER(F52),F52*L52,F52)</f>
        <v>Non appliqué</v>
      </c>
      <c r="O52" s="73" t="str">
        <f t="shared" si="4"/>
        <v>Non appliqué</v>
      </c>
      <c r="P52" s="73" t="str">
        <f>IF(ISNUMBER(J52),J52*M52,J52)</f>
        <v>Non appliqué</v>
      </c>
      <c r="Q52" s="73" t="str">
        <f t="shared" si="5"/>
        <v>Non appliqué</v>
      </c>
      <c r="R52" s="77"/>
      <c r="S52" s="75"/>
      <c r="T52" s="75"/>
      <c r="U52" s="75"/>
      <c r="V52" s="76"/>
      <c r="W52" s="76"/>
      <c r="X52" s="76"/>
      <c r="Y52" s="134">
        <f t="shared" si="8"/>
        <v>39</v>
      </c>
    </row>
    <row r="53" spans="1:25" ht="25.2" x14ac:dyDescent="0.3">
      <c r="A53" s="4"/>
      <c r="B53" s="4" t="s">
        <v>729</v>
      </c>
      <c r="C53" s="5"/>
      <c r="D53" s="5"/>
      <c r="E53" s="5"/>
      <c r="F53" s="5"/>
      <c r="G53" s="9"/>
      <c r="H53" s="9"/>
      <c r="I53" s="9"/>
      <c r="J53" s="6"/>
      <c r="K53" s="5"/>
      <c r="L53" s="5"/>
      <c r="M53" s="5"/>
      <c r="N53" s="6"/>
      <c r="O53" s="6"/>
      <c r="P53" s="6"/>
      <c r="Q53" s="6"/>
      <c r="R53" s="70">
        <v>2</v>
      </c>
      <c r="S53" s="7" t="str">
        <f t="shared" si="6"/>
        <v>Non appliqué</v>
      </c>
      <c r="T53" s="7" t="str">
        <f ca="1">IFERROR(S53/SUM(S:S),S53)</f>
        <v>Non appliqué</v>
      </c>
      <c r="U53" s="7" t="str">
        <f ca="1">IFERROR(T53*#REF!,T53)</f>
        <v>Non appliqué</v>
      </c>
      <c r="V53" s="7" t="str">
        <f t="shared" si="7"/>
        <v>Non appliqué</v>
      </c>
      <c r="W53" s="7" t="str">
        <f ca="1">IFERROR(V53/SUM(V:V),V53)</f>
        <v>Non appliqué</v>
      </c>
      <c r="X53" s="7" t="str">
        <f ca="1">IFERROR(W53*#REF!,W53)</f>
        <v>Non appliqué</v>
      </c>
    </row>
    <row r="54" spans="1:25" x14ac:dyDescent="0.3">
      <c r="A54" s="64" t="s">
        <v>729</v>
      </c>
      <c r="B54" s="64" t="s">
        <v>729</v>
      </c>
      <c r="C54" s="71">
        <f>SUMIFS(Grille!R:R,Grille!A:A,Grille_HT2!A54,Grille!C:C,Grille_HT2!B54,Grille!J:J,"Majeur")</f>
        <v>0</v>
      </c>
      <c r="D54" s="71">
        <f>SUMIFS(Grille!Q:Q,Grille!A:A,Grille_HT2!A54,Grille!C:C,Grille_HT2!B54,Grille!J:J,"Majeur")</f>
        <v>0</v>
      </c>
      <c r="E54" s="71">
        <f>SUMIFS(Grille!N:N,Grille!A:A,Grille_HT2!A54,Grille!C:C,Grille_HT2!B54,Grille!J:J,"Majeur")</f>
        <v>0</v>
      </c>
      <c r="F54" s="72" t="str">
        <f t="shared" si="0"/>
        <v>Non appliqué</v>
      </c>
      <c r="G54" s="71">
        <f>SUMIFS(Grille!R:R,Grille!A:A,Grille_HT2!A54,Grille!C:C,Grille_HT2!B54,Grille!J:J,"Mineur")</f>
        <v>0</v>
      </c>
      <c r="H54" s="71">
        <f>SUMIFS(Grille!Q:Q,Grille!A:A,Grille_HT2!A54,Grille!C:C,Grille_HT2!B54,Grille!J:J,"Mineur")</f>
        <v>0</v>
      </c>
      <c r="I54" s="71">
        <f>SUMIFS(Grille!N:N,Grille!A:A,Grille_HT2!A54,Grille!C:C,Grille_HT2!B54,Grille!J:J,"Mineur")</f>
        <v>0</v>
      </c>
      <c r="J54" s="72" t="str">
        <f t="shared" si="1"/>
        <v>Non appliqué</v>
      </c>
      <c r="K54" s="71">
        <v>100</v>
      </c>
      <c r="L54" s="73" t="str">
        <f t="shared" si="2"/>
        <v>Non appliqué</v>
      </c>
      <c r="M54" s="73" t="str">
        <f t="shared" si="3"/>
        <v>Non appliqué</v>
      </c>
      <c r="N54" s="73" t="str">
        <f>IF(ISNUMBER(F54),F54*L54,F54)</f>
        <v>Non appliqué</v>
      </c>
      <c r="O54" s="73" t="str">
        <f t="shared" si="4"/>
        <v>Non appliqué</v>
      </c>
      <c r="P54" s="73" t="str">
        <f>IF(ISNUMBER(J54),J54*M54,J54)</f>
        <v>Non appliqué</v>
      </c>
      <c r="Q54" s="73" t="str">
        <f t="shared" si="5"/>
        <v>Non appliqué</v>
      </c>
      <c r="R54" s="77"/>
      <c r="S54" s="75"/>
      <c r="T54" s="75"/>
      <c r="U54" s="75"/>
      <c r="V54" s="76"/>
      <c r="W54" s="76"/>
      <c r="X54" s="76"/>
      <c r="Y54" s="134">
        <f>Y52+1</f>
        <v>40</v>
      </c>
    </row>
    <row r="55" spans="1:25" ht="25.2" x14ac:dyDescent="0.3">
      <c r="A55" s="4"/>
      <c r="B55" s="4" t="str">
        <f>A56</f>
        <v>Autres animations</v>
      </c>
      <c r="C55" s="5"/>
      <c r="D55" s="5"/>
      <c r="E55" s="5"/>
      <c r="F55" s="5"/>
      <c r="G55" s="9"/>
      <c r="H55" s="9"/>
      <c r="I55" s="9"/>
      <c r="J55" s="6"/>
      <c r="K55" s="5"/>
      <c r="L55" s="5"/>
      <c r="M55" s="5"/>
      <c r="N55" s="6"/>
      <c r="O55" s="6"/>
      <c r="P55" s="6"/>
      <c r="Q55" s="6"/>
      <c r="R55" s="70">
        <v>1</v>
      </c>
      <c r="S55" s="7" t="str">
        <f t="shared" si="6"/>
        <v>Non appliqué</v>
      </c>
      <c r="T55" s="7" t="str">
        <f ca="1">IFERROR(S55/SUM(S:S),S55)</f>
        <v>Non appliqué</v>
      </c>
      <c r="U55" s="7" t="str">
        <f ca="1">IFERROR(T55*O56,T55)</f>
        <v>Non appliqué</v>
      </c>
      <c r="V55" s="7" t="str">
        <f t="shared" si="7"/>
        <v>Non appliqué</v>
      </c>
      <c r="W55" s="7" t="str">
        <f ca="1">IFERROR(V55/SUM(V:V),V55)</f>
        <v>Non appliqué</v>
      </c>
      <c r="X55" s="7" t="str">
        <f ca="1">IFERROR(W55*Q56,W55)</f>
        <v>Non appliqué</v>
      </c>
    </row>
    <row r="56" spans="1:25" x14ac:dyDescent="0.3">
      <c r="A56" s="64" t="s">
        <v>731</v>
      </c>
      <c r="B56" s="64" t="s">
        <v>733</v>
      </c>
      <c r="C56" s="71">
        <f>SUMIFS(Grille!R:R,Grille!A:A,Grille_HT2!A56,Grille!C:C,Grille_HT2!B56,Grille!J:J,"Majeur")</f>
        <v>0</v>
      </c>
      <c r="D56" s="71">
        <f>SUMIFS(Grille!Q:Q,Grille!A:A,Grille_HT2!A56,Grille!C:C,Grille_HT2!B56,Grille!J:J,"Majeur")</f>
        <v>0</v>
      </c>
      <c r="E56" s="71">
        <f>SUMIFS(Grille!N:N,Grille!A:A,Grille_HT2!A56,Grille!C:C,Grille_HT2!B56,Grille!J:J,"Majeur")</f>
        <v>0</v>
      </c>
      <c r="F56" s="72" t="str">
        <f t="shared" si="0"/>
        <v>Non appliqué</v>
      </c>
      <c r="G56" s="71">
        <f>SUMIFS(Grille!R:R,Grille!A:A,Grille_HT2!A56,Grille!C:C,Grille_HT2!B56,Grille!J:J,"Mineur")</f>
        <v>0</v>
      </c>
      <c r="H56" s="71">
        <f>SUMIFS(Grille!Q:Q,Grille!A:A,Grille_HT2!A56,Grille!C:C,Grille_HT2!B56,Grille!J:J,"Mineur")</f>
        <v>0</v>
      </c>
      <c r="I56" s="71">
        <f>SUMIFS(Grille!N:N,Grille!A:A,Grille_HT2!A56,Grille!C:C,Grille_HT2!B56,Grille!J:J,"Mineur")</f>
        <v>0</v>
      </c>
      <c r="J56" s="72" t="str">
        <f t="shared" si="1"/>
        <v>Non appliqué</v>
      </c>
      <c r="K56" s="71">
        <v>40</v>
      </c>
      <c r="L56" s="73" t="str">
        <f t="shared" si="2"/>
        <v>Non appliqué</v>
      </c>
      <c r="M56" s="73" t="str">
        <f t="shared" si="3"/>
        <v>Non appliqué</v>
      </c>
      <c r="N56" s="73" t="str">
        <f>IF(ISNUMBER(F56),F56*L56,F56)</f>
        <v>Non appliqué</v>
      </c>
      <c r="O56" s="73" t="str">
        <f t="shared" si="4"/>
        <v>Non appliqué</v>
      </c>
      <c r="P56" s="73" t="str">
        <f>IF(ISNUMBER(J56),J56*M56,J56)</f>
        <v>Non appliqué</v>
      </c>
      <c r="Q56" s="73" t="str">
        <f t="shared" si="5"/>
        <v>Non appliqué</v>
      </c>
      <c r="R56" s="77"/>
      <c r="S56" s="75"/>
      <c r="T56" s="75"/>
      <c r="U56" s="75"/>
      <c r="V56" s="76"/>
      <c r="W56" s="76"/>
      <c r="X56" s="76"/>
      <c r="Y56" s="134">
        <f>Y54+1</f>
        <v>41</v>
      </c>
    </row>
    <row r="57" spans="1:25" ht="25.2" x14ac:dyDescent="0.3">
      <c r="A57" s="64" t="s">
        <v>731</v>
      </c>
      <c r="B57" s="64" t="s">
        <v>734</v>
      </c>
      <c r="C57" s="71">
        <f>SUMIFS(Grille!R:R,Grille!A:A,Grille_HT2!A57,Grille!C:C,Grille_HT2!B57,Grille!J:J,"Majeur")</f>
        <v>0</v>
      </c>
      <c r="D57" s="71">
        <f>SUMIFS(Grille!Q:Q,Grille!A:A,Grille_HT2!A57,Grille!C:C,Grille_HT2!B57,Grille!J:J,"Majeur")</f>
        <v>0</v>
      </c>
      <c r="E57" s="71">
        <f>SUMIFS(Grille!N:N,Grille!A:A,Grille_HT2!A57,Grille!C:C,Grille_HT2!B57,Grille!J:J,"Majeur")</f>
        <v>0</v>
      </c>
      <c r="F57" s="72" t="str">
        <f t="shared" si="0"/>
        <v>Non appliqué</v>
      </c>
      <c r="G57" s="71">
        <f>SUMIFS(Grille!R:R,Grille!A:A,Grille_HT2!A57,Grille!C:C,Grille_HT2!B57,Grille!J:J,"Mineur")</f>
        <v>0</v>
      </c>
      <c r="H57" s="71">
        <f>SUMIFS(Grille!Q:Q,Grille!A:A,Grille_HT2!A57,Grille!C:C,Grille_HT2!B57,Grille!J:J,"Mineur")</f>
        <v>0</v>
      </c>
      <c r="I57" s="71">
        <f>SUMIFS(Grille!N:N,Grille!A:A,Grille_HT2!A57,Grille!C:C,Grille_HT2!B57,Grille!J:J,"Mineur")</f>
        <v>0</v>
      </c>
      <c r="J57" s="72" t="str">
        <f t="shared" si="1"/>
        <v>Non appliqué</v>
      </c>
      <c r="K57" s="71">
        <v>10</v>
      </c>
      <c r="L57" s="73" t="str">
        <f t="shared" si="2"/>
        <v>Non appliqué</v>
      </c>
      <c r="M57" s="73" t="str">
        <f t="shared" si="3"/>
        <v>Non appliqué</v>
      </c>
      <c r="N57" s="73" t="str">
        <f>IF(ISNUMBER(F57),F57*L57,F57)</f>
        <v>Non appliqué</v>
      </c>
      <c r="O57" s="73" t="str">
        <f t="shared" si="4"/>
        <v>Non appliqué</v>
      </c>
      <c r="P57" s="73" t="str">
        <f>IF(ISNUMBER(J57),J57*M57,J57)</f>
        <v>Non appliqué</v>
      </c>
      <c r="Q57" s="73" t="str">
        <f t="shared" si="5"/>
        <v>Non appliqué</v>
      </c>
      <c r="R57" s="77"/>
      <c r="S57" s="75"/>
      <c r="T57" s="75"/>
      <c r="U57" s="75"/>
      <c r="V57" s="76"/>
      <c r="W57" s="76"/>
      <c r="X57" s="76"/>
      <c r="Y57" s="134">
        <f t="shared" si="8"/>
        <v>42</v>
      </c>
    </row>
    <row r="58" spans="1:25" ht="25.2" x14ac:dyDescent="0.3">
      <c r="A58" s="64" t="s">
        <v>731</v>
      </c>
      <c r="B58" s="64" t="s">
        <v>735</v>
      </c>
      <c r="C58" s="71">
        <f>SUMIFS(Grille!R:R,Grille!A:A,Grille_HT2!A58,Grille!C:C,Grille_HT2!B58,Grille!J:J,"Majeur")</f>
        <v>0</v>
      </c>
      <c r="D58" s="71">
        <f>SUMIFS(Grille!Q:Q,Grille!A:A,Grille_HT2!A58,Grille!C:C,Grille_HT2!B58,Grille!J:J,"Majeur")</f>
        <v>0</v>
      </c>
      <c r="E58" s="71">
        <f>SUMIFS(Grille!N:N,Grille!A:A,Grille_HT2!A58,Grille!C:C,Grille_HT2!B58,Grille!J:J,"Majeur")</f>
        <v>0</v>
      </c>
      <c r="F58" s="72" t="str">
        <f t="shared" si="0"/>
        <v>Non appliqué</v>
      </c>
      <c r="G58" s="71">
        <f>SUMIFS(Grille!R:R,Grille!A:A,Grille_HT2!A58,Grille!C:C,Grille_HT2!B58,Grille!J:J,"Mineur")</f>
        <v>0</v>
      </c>
      <c r="H58" s="71">
        <f>SUMIFS(Grille!Q:Q,Grille!A:A,Grille_HT2!A58,Grille!C:C,Grille_HT2!B58,Grille!J:J,"Mineur")</f>
        <v>0</v>
      </c>
      <c r="I58" s="71">
        <f>SUMIFS(Grille!N:N,Grille!A:A,Grille_HT2!A58,Grille!C:C,Grille_HT2!B58,Grille!J:J,"Mineur")</f>
        <v>0</v>
      </c>
      <c r="J58" s="72" t="str">
        <f t="shared" si="1"/>
        <v>Non appliqué</v>
      </c>
      <c r="K58" s="71">
        <v>10</v>
      </c>
      <c r="L58" s="73" t="str">
        <f t="shared" si="2"/>
        <v>Non appliqué</v>
      </c>
      <c r="M58" s="73" t="str">
        <f t="shared" si="3"/>
        <v>Non appliqué</v>
      </c>
      <c r="N58" s="73" t="str">
        <f>IF(ISNUMBER(F58),F58*L58,F58)</f>
        <v>Non appliqué</v>
      </c>
      <c r="O58" s="73" t="str">
        <f t="shared" si="4"/>
        <v>Non appliqué</v>
      </c>
      <c r="P58" s="73" t="str">
        <f>IF(ISNUMBER(J58),J58*M58,J58)</f>
        <v>Non appliqué</v>
      </c>
      <c r="Q58" s="73" t="str">
        <f t="shared" si="5"/>
        <v>Non appliqué</v>
      </c>
      <c r="R58" s="77"/>
      <c r="S58" s="75"/>
      <c r="T58" s="75"/>
      <c r="U58" s="75"/>
      <c r="V58" s="76"/>
      <c r="W58" s="76"/>
      <c r="X58" s="76"/>
      <c r="Y58" s="134">
        <f t="shared" si="8"/>
        <v>43</v>
      </c>
    </row>
    <row r="59" spans="1:25" ht="25.2" x14ac:dyDescent="0.3">
      <c r="A59" s="64" t="s">
        <v>731</v>
      </c>
      <c r="B59" s="64" t="s">
        <v>736</v>
      </c>
      <c r="C59" s="71">
        <f>SUMIFS(Grille!R:R,Grille!A:A,Grille_HT2!A59,Grille!C:C,Grille_HT2!B59,Grille!J:J,"Majeur")</f>
        <v>0</v>
      </c>
      <c r="D59" s="71">
        <f>SUMIFS(Grille!Q:Q,Grille!A:A,Grille_HT2!A59,Grille!C:C,Grille_HT2!B59,Grille!J:J,"Majeur")</f>
        <v>0</v>
      </c>
      <c r="E59" s="71">
        <f>SUMIFS(Grille!N:N,Grille!A:A,Grille_HT2!A59,Grille!C:C,Grille_HT2!B59,Grille!J:J,"Majeur")</f>
        <v>0</v>
      </c>
      <c r="F59" s="72" t="str">
        <f t="shared" si="0"/>
        <v>Non appliqué</v>
      </c>
      <c r="G59" s="71">
        <f>SUMIFS(Grille!R:R,Grille!A:A,Grille_HT2!A59,Grille!C:C,Grille_HT2!B59,Grille!J:J,"Mineur")</f>
        <v>0</v>
      </c>
      <c r="H59" s="71">
        <f>SUMIFS(Grille!Q:Q,Grille!A:A,Grille_HT2!A59,Grille!C:C,Grille_HT2!B59,Grille!J:J,"Mineur")</f>
        <v>0</v>
      </c>
      <c r="I59" s="71">
        <f>SUMIFS(Grille!N:N,Grille!A:A,Grille_HT2!A59,Grille!C:C,Grille_HT2!B59,Grille!J:J,"Mineur")</f>
        <v>0</v>
      </c>
      <c r="J59" s="72" t="str">
        <f t="shared" si="1"/>
        <v>Non appliqué</v>
      </c>
      <c r="K59" s="71">
        <v>20</v>
      </c>
      <c r="L59" s="73" t="str">
        <f t="shared" si="2"/>
        <v>Non appliqué</v>
      </c>
      <c r="M59" s="73" t="str">
        <f t="shared" si="3"/>
        <v>Non appliqué</v>
      </c>
      <c r="N59" s="73" t="str">
        <f>IF(ISNUMBER(F59),F59*L59,F59)</f>
        <v>Non appliqué</v>
      </c>
      <c r="O59" s="73" t="str">
        <f t="shared" si="4"/>
        <v>Non appliqué</v>
      </c>
      <c r="P59" s="73" t="str">
        <f>IF(ISNUMBER(J59),J59*M59,J59)</f>
        <v>Non appliqué</v>
      </c>
      <c r="Q59" s="73" t="str">
        <f t="shared" si="5"/>
        <v>Non appliqué</v>
      </c>
      <c r="R59" s="77"/>
      <c r="S59" s="75"/>
      <c r="T59" s="75"/>
      <c r="U59" s="75"/>
      <c r="V59" s="76"/>
      <c r="W59" s="76"/>
      <c r="X59" s="76"/>
      <c r="Y59" s="134">
        <f t="shared" si="8"/>
        <v>44</v>
      </c>
    </row>
    <row r="60" spans="1:25" ht="25.2" x14ac:dyDescent="0.3">
      <c r="A60" s="64" t="s">
        <v>731</v>
      </c>
      <c r="B60" s="64" t="s">
        <v>737</v>
      </c>
      <c r="C60" s="71">
        <f>SUMIFS(Grille!R:R,Grille!A:A,Grille_HT2!A60,Grille!C:C,Grille_HT2!B60,Grille!J:J,"Majeur")</f>
        <v>0</v>
      </c>
      <c r="D60" s="71">
        <f>SUMIFS(Grille!Q:Q,Grille!A:A,Grille_HT2!A60,Grille!C:C,Grille_HT2!B60,Grille!J:J,"Majeur")</f>
        <v>0</v>
      </c>
      <c r="E60" s="71">
        <f>SUMIFS(Grille!N:N,Grille!A:A,Grille_HT2!A60,Grille!C:C,Grille_HT2!B60,Grille!J:J,"Majeur")</f>
        <v>0</v>
      </c>
      <c r="F60" s="72" t="str">
        <f t="shared" si="0"/>
        <v>Non appliqué</v>
      </c>
      <c r="G60" s="71">
        <f>SUMIFS(Grille!R:R,Grille!A:A,Grille_HT2!A60,Grille!C:C,Grille_HT2!B60,Grille!J:J,"Mineur")</f>
        <v>0</v>
      </c>
      <c r="H60" s="71">
        <f>SUMIFS(Grille!Q:Q,Grille!A:A,Grille_HT2!A60,Grille!C:C,Grille_HT2!B60,Grille!J:J,"Mineur")</f>
        <v>0</v>
      </c>
      <c r="I60" s="71">
        <f>SUMIFS(Grille!N:N,Grille!A:A,Grille_HT2!A60,Grille!C:C,Grille_HT2!B60,Grille!J:J,"Mineur")</f>
        <v>0</v>
      </c>
      <c r="J60" s="72" t="str">
        <f t="shared" si="1"/>
        <v>Non appliqué</v>
      </c>
      <c r="K60" s="71">
        <v>20</v>
      </c>
      <c r="L60" s="73" t="str">
        <f t="shared" si="2"/>
        <v>Non appliqué</v>
      </c>
      <c r="M60" s="73" t="str">
        <f t="shared" si="3"/>
        <v>Non appliqué</v>
      </c>
      <c r="N60" s="73" t="str">
        <f>IF(ISNUMBER(F60),F60*L60,F60)</f>
        <v>Non appliqué</v>
      </c>
      <c r="O60" s="73" t="str">
        <f t="shared" si="4"/>
        <v>Non appliqué</v>
      </c>
      <c r="P60" s="73" t="str">
        <f>IF(ISNUMBER(J60),J60*M60,J60)</f>
        <v>Non appliqué</v>
      </c>
      <c r="Q60" s="73" t="str">
        <f t="shared" si="5"/>
        <v>Non appliqué</v>
      </c>
      <c r="R60" s="77"/>
      <c r="S60" s="75"/>
      <c r="T60" s="75"/>
      <c r="U60" s="75"/>
      <c r="V60" s="76"/>
      <c r="W60" s="76"/>
      <c r="X60" s="76"/>
      <c r="Y60" s="134">
        <f t="shared" si="8"/>
        <v>45</v>
      </c>
    </row>
    <row r="61" spans="1:25" ht="25.2" x14ac:dyDescent="0.3">
      <c r="A61" s="4"/>
      <c r="B61" s="4" t="str">
        <f>A62</f>
        <v>Boutique</v>
      </c>
      <c r="C61" s="5"/>
      <c r="D61" s="5"/>
      <c r="E61" s="5"/>
      <c r="F61" s="5"/>
      <c r="G61" s="9"/>
      <c r="H61" s="9"/>
      <c r="I61" s="9"/>
      <c r="J61" s="6"/>
      <c r="K61" s="5"/>
      <c r="L61" s="5"/>
      <c r="M61" s="5"/>
      <c r="N61" s="6"/>
      <c r="O61" s="6"/>
      <c r="P61" s="6"/>
      <c r="Q61" s="6"/>
      <c r="R61" s="70">
        <v>1</v>
      </c>
      <c r="S61" s="7" t="str">
        <f t="shared" si="6"/>
        <v>Non appliqué</v>
      </c>
      <c r="T61" s="7" t="str">
        <f ca="1">IFERROR(S61/SUM(S:S),S61)</f>
        <v>Non appliqué</v>
      </c>
      <c r="U61" s="7" t="str">
        <f ca="1">IFERROR(T61*O62,T61)</f>
        <v>Non appliqué</v>
      </c>
      <c r="V61" s="7" t="str">
        <f t="shared" si="7"/>
        <v>Non appliqué</v>
      </c>
      <c r="W61" s="7" t="str">
        <f ca="1">IFERROR(V61/SUM(V:V),V61)</f>
        <v>Non appliqué</v>
      </c>
      <c r="X61" s="7" t="str">
        <f ca="1">IFERROR(W61*Q62,W61)</f>
        <v>Non appliqué</v>
      </c>
    </row>
    <row r="62" spans="1:25" x14ac:dyDescent="0.3">
      <c r="A62" s="64" t="s">
        <v>738</v>
      </c>
      <c r="B62" s="64" t="s">
        <v>738</v>
      </c>
      <c r="C62" s="71">
        <f>SUMIFS(Grille!R:R,Grille!A:A,Grille_HT2!A62,Grille!C:C,Grille_HT2!B62,Grille!J:J,"Majeur")</f>
        <v>0</v>
      </c>
      <c r="D62" s="71">
        <f>SUMIFS(Grille!Q:Q,Grille!A:A,Grille_HT2!A62,Grille!C:C,Grille_HT2!B62,Grille!J:J,"Majeur")</f>
        <v>0</v>
      </c>
      <c r="E62" s="71">
        <f>SUMIFS(Grille!N:N,Grille!A:A,Grille_HT2!A62,Grille!C:C,Grille_HT2!B62,Grille!J:J,"Majeur")</f>
        <v>0</v>
      </c>
      <c r="F62" s="72" t="str">
        <f t="shared" si="0"/>
        <v>Non appliqué</v>
      </c>
      <c r="G62" s="71">
        <f>SUMIFS(Grille!R:R,Grille!A:A,Grille_HT2!A62,Grille!C:C,Grille_HT2!B62,Grille!J:J,"Mineur")</f>
        <v>0</v>
      </c>
      <c r="H62" s="71">
        <f>SUMIFS(Grille!Q:Q,Grille!A:A,Grille_HT2!A62,Grille!C:C,Grille_HT2!B62,Grille!J:J,"Mineur")</f>
        <v>0</v>
      </c>
      <c r="I62" s="71">
        <f>SUMIFS(Grille!N:N,Grille!A:A,Grille_HT2!A62,Grille!C:C,Grille_HT2!B62,Grille!J:J,"Mineur")</f>
        <v>0</v>
      </c>
      <c r="J62" s="72" t="str">
        <f t="shared" si="1"/>
        <v>Non appliqué</v>
      </c>
      <c r="K62" s="71">
        <v>100</v>
      </c>
      <c r="L62" s="73" t="str">
        <f t="shared" si="2"/>
        <v>Non appliqué</v>
      </c>
      <c r="M62" s="73" t="str">
        <f t="shared" si="3"/>
        <v>Non appliqué</v>
      </c>
      <c r="N62" s="73" t="str">
        <f>IF(ISNUMBER(F62),F62*L62,F62)</f>
        <v>Non appliqué</v>
      </c>
      <c r="O62" s="73" t="str">
        <f t="shared" si="4"/>
        <v>Non appliqué</v>
      </c>
      <c r="P62" s="73" t="str">
        <f>IF(ISNUMBER(J62),J62*M62,J62)</f>
        <v>Non appliqué</v>
      </c>
      <c r="Q62" s="73" t="str">
        <f t="shared" si="5"/>
        <v>Non appliqué</v>
      </c>
      <c r="R62" s="77"/>
      <c r="S62" s="75"/>
      <c r="T62" s="75"/>
      <c r="U62" s="75"/>
      <c r="V62" s="76"/>
      <c r="W62" s="76"/>
      <c r="X62" s="76"/>
      <c r="Y62" s="134">
        <f>Y60+1</f>
        <v>46</v>
      </c>
    </row>
    <row r="63" spans="1:25" x14ac:dyDescent="0.3">
      <c r="A63" s="4"/>
      <c r="B63" s="4" t="s">
        <v>739</v>
      </c>
      <c r="C63" s="5"/>
      <c r="D63" s="5"/>
      <c r="E63" s="5"/>
      <c r="F63" s="5"/>
      <c r="G63" s="9"/>
      <c r="H63" s="9"/>
      <c r="I63" s="9"/>
      <c r="J63" s="6"/>
      <c r="K63" s="5"/>
      <c r="L63" s="5"/>
      <c r="M63" s="5"/>
      <c r="N63" s="6"/>
      <c r="O63" s="6"/>
      <c r="P63" s="6"/>
      <c r="Q63" s="6"/>
      <c r="R63" s="70">
        <v>25</v>
      </c>
      <c r="S63" s="7">
        <f t="shared" ca="1" si="6"/>
        <v>0.25</v>
      </c>
      <c r="T63" s="7">
        <f ca="1">IFERROR(S63/SUM(S:S),S63)</f>
        <v>0.34722222222222215</v>
      </c>
      <c r="U63" s="7">
        <f ca="1">IFERROR(T63*O64,T63)</f>
        <v>0</v>
      </c>
      <c r="V63" s="7">
        <f t="shared" ca="1" si="7"/>
        <v>0.25</v>
      </c>
      <c r="W63" s="7">
        <f ca="1">IFERROR(V63/SUM(V:V),V63)</f>
        <v>0.36764705882352938</v>
      </c>
      <c r="X63" s="7">
        <f ca="1">IFERROR(W63*Q64,W63)</f>
        <v>0</v>
      </c>
    </row>
    <row r="64" spans="1:25" x14ac:dyDescent="0.3">
      <c r="A64" s="64" t="s">
        <v>739</v>
      </c>
      <c r="B64" s="64" t="s">
        <v>682</v>
      </c>
      <c r="C64" s="71">
        <f>SUMIFS(Grille!R:R,Grille!A:A,Grille_HT2!A64,Grille!C:C,Grille_HT2!B64,Grille!J:J,"Majeur")</f>
        <v>16</v>
      </c>
      <c r="D64" s="71">
        <f ca="1">SUMIFS(Grille!Q:Q,Grille!A:A,Grille_HT2!A64,Grille!C:C,Grille_HT2!B64,Grille!J:J,"Majeur")</f>
        <v>16</v>
      </c>
      <c r="E64" s="71">
        <f ca="1">SUMIFS(Grille!N:N,Grille!A:A,Grille_HT2!A64,Grille!C:C,Grille_HT2!B64,Grille!J:J,"Majeur")</f>
        <v>0</v>
      </c>
      <c r="F64" s="72">
        <f t="shared" ca="1" si="0"/>
        <v>0</v>
      </c>
      <c r="G64" s="71">
        <f>SUMIFS(Grille!R:R,Grille!A:A,Grille_HT2!A64,Grille!C:C,Grille_HT2!B64,Grille!J:J,"Mineur")</f>
        <v>4</v>
      </c>
      <c r="H64" s="71">
        <f ca="1">SUMIFS(Grille!Q:Q,Grille!A:A,Grille_HT2!A64,Grille!C:C,Grille_HT2!B64,Grille!J:J,"Mineur")</f>
        <v>4</v>
      </c>
      <c r="I64" s="71">
        <f ca="1">SUMIFS(Grille!N:N,Grille!A:A,Grille_HT2!A64,Grille!C:C,Grille_HT2!B64,Grille!J:J,"Mineur")</f>
        <v>0</v>
      </c>
      <c r="J64" s="72">
        <f t="shared" ca="1" si="1"/>
        <v>0</v>
      </c>
      <c r="K64" s="71">
        <v>10</v>
      </c>
      <c r="L64" s="73">
        <f t="shared" ca="1" si="2"/>
        <v>0.11764705882352941</v>
      </c>
      <c r="M64" s="73">
        <f t="shared" ca="1" si="3"/>
        <v>0.125</v>
      </c>
      <c r="N64" s="73">
        <f t="shared" ref="N64:N74" ca="1" si="11">IF(ISNUMBER(F64),F64*L64,F64)</f>
        <v>0</v>
      </c>
      <c r="O64" s="73">
        <f t="shared" ca="1" si="4"/>
        <v>0</v>
      </c>
      <c r="P64" s="73">
        <f t="shared" ref="P64:P74" ca="1" si="12">IF(ISNUMBER(J64),J64*M64,J64)</f>
        <v>0</v>
      </c>
      <c r="Q64" s="73">
        <f t="shared" ca="1" si="5"/>
        <v>0</v>
      </c>
      <c r="R64" s="77"/>
      <c r="S64" s="75"/>
      <c r="T64" s="75"/>
      <c r="U64" s="75"/>
      <c r="V64" s="76"/>
      <c r="W64" s="76"/>
      <c r="X64" s="76"/>
      <c r="Y64" s="134">
        <f>Y62+1</f>
        <v>47</v>
      </c>
    </row>
    <row r="65" spans="1:25" x14ac:dyDescent="0.3">
      <c r="A65" s="64" t="s">
        <v>739</v>
      </c>
      <c r="B65" s="64" t="s">
        <v>742</v>
      </c>
      <c r="C65" s="71">
        <f>SUMIFS(Grille!R:R,Grille!A:A,Grille_HT2!A65,Grille!C:C,Grille_HT2!B65,Grille!J:J,"Majeur")</f>
        <v>11</v>
      </c>
      <c r="D65" s="71">
        <f ca="1">SUMIFS(Grille!Q:Q,Grille!A:A,Grille_HT2!A65,Grille!C:C,Grille_HT2!B65,Grille!J:J,"Majeur")</f>
        <v>11</v>
      </c>
      <c r="E65" s="71">
        <f ca="1">SUMIFS(Grille!N:N,Grille!A:A,Grille_HT2!A65,Grille!C:C,Grille_HT2!B65,Grille!J:J,"Majeur")</f>
        <v>0</v>
      </c>
      <c r="F65" s="72">
        <f t="shared" ca="1" si="0"/>
        <v>0</v>
      </c>
      <c r="G65" s="71">
        <f>SUMIFS(Grille!R:R,Grille!A:A,Grille_HT2!A65,Grille!C:C,Grille_HT2!B65,Grille!J:J,"Mineur")</f>
        <v>4</v>
      </c>
      <c r="H65" s="71">
        <f ca="1">SUMIFS(Grille!Q:Q,Grille!A:A,Grille_HT2!A65,Grille!C:C,Grille_HT2!B65,Grille!J:J,"Mineur")</f>
        <v>4</v>
      </c>
      <c r="I65" s="71">
        <f ca="1">SUMIFS(Grille!N:N,Grille!A:A,Grille_HT2!A65,Grille!C:C,Grille_HT2!B65,Grille!J:J,"Mineur")</f>
        <v>0</v>
      </c>
      <c r="J65" s="72">
        <f t="shared" ca="1" si="1"/>
        <v>0</v>
      </c>
      <c r="K65" s="71">
        <v>2.5</v>
      </c>
      <c r="L65" s="73">
        <f t="shared" ca="1" si="2"/>
        <v>2.9411764705882353E-2</v>
      </c>
      <c r="M65" s="73">
        <f t="shared" ca="1" si="3"/>
        <v>3.125E-2</v>
      </c>
      <c r="N65" s="73">
        <f t="shared" ca="1" si="11"/>
        <v>0</v>
      </c>
      <c r="O65" s="73">
        <f t="shared" ca="1" si="4"/>
        <v>0</v>
      </c>
      <c r="P65" s="73">
        <f t="shared" ca="1" si="12"/>
        <v>0</v>
      </c>
      <c r="Q65" s="73">
        <f t="shared" ca="1" si="5"/>
        <v>0</v>
      </c>
      <c r="R65" s="77"/>
      <c r="S65" s="75"/>
      <c r="T65" s="75"/>
      <c r="U65" s="75"/>
      <c r="V65" s="76"/>
      <c r="W65" s="76"/>
      <c r="X65" s="76"/>
      <c r="Y65" s="134">
        <f t="shared" si="8"/>
        <v>48</v>
      </c>
    </row>
    <row r="66" spans="1:25" x14ac:dyDescent="0.3">
      <c r="A66" s="64" t="s">
        <v>739</v>
      </c>
      <c r="B66" s="64" t="s">
        <v>743</v>
      </c>
      <c r="C66" s="71">
        <f>SUMIFS(Grille!R:R,Grille!A:A,Grille_HT2!A66,Grille!C:C,Grille_HT2!B66,Grille!J:J,"Majeur")</f>
        <v>16</v>
      </c>
      <c r="D66" s="71">
        <f ca="1">SUMIFS(Grille!Q:Q,Grille!A:A,Grille_HT2!A66,Grille!C:C,Grille_HT2!B66,Grille!J:J,"Majeur")</f>
        <v>16</v>
      </c>
      <c r="E66" s="71">
        <f ca="1">SUMIFS(Grille!N:N,Grille!A:A,Grille_HT2!A66,Grille!C:C,Grille_HT2!B66,Grille!J:J,"Majeur")</f>
        <v>0</v>
      </c>
      <c r="F66" s="72">
        <f t="shared" ca="1" si="0"/>
        <v>0</v>
      </c>
      <c r="G66" s="71">
        <f>SUMIFS(Grille!R:R,Grille!A:A,Grille_HT2!A66,Grille!C:C,Grille_HT2!B66,Grille!J:J,"Mineur")</f>
        <v>0</v>
      </c>
      <c r="H66" s="71">
        <f>SUMIFS(Grille!Q:Q,Grille!A:A,Grille_HT2!A66,Grille!C:C,Grille_HT2!B66,Grille!J:J,"Mineur")</f>
        <v>0</v>
      </c>
      <c r="I66" s="71">
        <f>SUMIFS(Grille!N:N,Grille!A:A,Grille_HT2!A66,Grille!C:C,Grille_HT2!B66,Grille!J:J,"Mineur")</f>
        <v>0</v>
      </c>
      <c r="J66" s="72" t="str">
        <f t="shared" si="1"/>
        <v>Non appliqué</v>
      </c>
      <c r="K66" s="71">
        <v>5</v>
      </c>
      <c r="L66" s="73">
        <f t="shared" ca="1" si="2"/>
        <v>5.8823529411764705E-2</v>
      </c>
      <c r="M66" s="73" t="str">
        <f t="shared" si="3"/>
        <v>Non appliqué</v>
      </c>
      <c r="N66" s="73">
        <f t="shared" ca="1" si="11"/>
        <v>0</v>
      </c>
      <c r="O66" s="73">
        <f t="shared" ca="1" si="4"/>
        <v>0</v>
      </c>
      <c r="P66" s="73" t="str">
        <f t="shared" si="12"/>
        <v>Non appliqué</v>
      </c>
      <c r="Q66" s="73">
        <f t="shared" ca="1" si="5"/>
        <v>0</v>
      </c>
      <c r="R66" s="77"/>
      <c r="S66" s="75"/>
      <c r="T66" s="75"/>
      <c r="U66" s="75"/>
      <c r="V66" s="76"/>
      <c r="W66" s="76"/>
      <c r="X66" s="76"/>
      <c r="Y66" s="134">
        <f t="shared" si="8"/>
        <v>49</v>
      </c>
    </row>
    <row r="67" spans="1:25" x14ac:dyDescent="0.3">
      <c r="A67" s="64" t="s">
        <v>739</v>
      </c>
      <c r="B67" s="64" t="s">
        <v>746</v>
      </c>
      <c r="C67" s="71">
        <f>SUMIFS(Grille!R:R,Grille!A:A,Grille_HT2!A67,Grille!C:C,Grille_HT2!B67,Grille!J:J,"Majeur")</f>
        <v>21</v>
      </c>
      <c r="D67" s="71">
        <f ca="1">SUMIFS(Grille!Q:Q,Grille!A:A,Grille_HT2!A67,Grille!C:C,Grille_HT2!B67,Grille!J:J,"Majeur")</f>
        <v>21</v>
      </c>
      <c r="E67" s="71">
        <f ca="1">SUMIFS(Grille!N:N,Grille!A:A,Grille_HT2!A67,Grille!C:C,Grille_HT2!B67,Grille!J:J,"Majeur")</f>
        <v>0</v>
      </c>
      <c r="F67" s="72">
        <f t="shared" ca="1" si="0"/>
        <v>0</v>
      </c>
      <c r="G67" s="71">
        <f>SUMIFS(Grille!R:R,Grille!A:A,Grille_HT2!A67,Grille!C:C,Grille_HT2!B67,Grille!J:J,"Mineur")</f>
        <v>4</v>
      </c>
      <c r="H67" s="71">
        <f ca="1">SUMIFS(Grille!Q:Q,Grille!A:A,Grille_HT2!A67,Grille!C:C,Grille_HT2!B67,Grille!J:J,"Mineur")</f>
        <v>4</v>
      </c>
      <c r="I67" s="71">
        <f ca="1">SUMIFS(Grille!N:N,Grille!A:A,Grille_HT2!A67,Grille!C:C,Grille_HT2!B67,Grille!J:J,"Mineur")</f>
        <v>0</v>
      </c>
      <c r="J67" s="72">
        <f t="shared" ca="1" si="1"/>
        <v>0</v>
      </c>
      <c r="K67" s="71">
        <v>20</v>
      </c>
      <c r="L67" s="73">
        <f t="shared" ca="1" si="2"/>
        <v>0.23529411764705882</v>
      </c>
      <c r="M67" s="73">
        <f t="shared" ca="1" si="3"/>
        <v>0.25</v>
      </c>
      <c r="N67" s="73">
        <f t="shared" ca="1" si="11"/>
        <v>0</v>
      </c>
      <c r="O67" s="73">
        <f t="shared" ca="1" si="4"/>
        <v>0</v>
      </c>
      <c r="P67" s="73">
        <f t="shared" ca="1" si="12"/>
        <v>0</v>
      </c>
      <c r="Q67" s="73">
        <f t="shared" ca="1" si="5"/>
        <v>0</v>
      </c>
      <c r="R67" s="77"/>
      <c r="S67" s="75"/>
      <c r="T67" s="75"/>
      <c r="U67" s="75"/>
      <c r="V67" s="76"/>
      <c r="W67" s="76"/>
      <c r="X67" s="76"/>
      <c r="Y67" s="134">
        <f t="shared" si="8"/>
        <v>50</v>
      </c>
    </row>
    <row r="68" spans="1:25" x14ac:dyDescent="0.3">
      <c r="A68" s="64" t="s">
        <v>739</v>
      </c>
      <c r="B68" s="64" t="s">
        <v>747</v>
      </c>
      <c r="C68" s="71">
        <f>SUMIFS(Grille!R:R,Grille!A:A,Grille_HT2!A68,Grille!C:C,Grille_HT2!B68,Grille!J:J,"Majeur")</f>
        <v>8</v>
      </c>
      <c r="D68" s="71">
        <f ca="1">SUMIFS(Grille!Q:Q,Grille!A:A,Grille_HT2!A68,Grille!C:C,Grille_HT2!B68,Grille!J:J,"Majeur")</f>
        <v>8</v>
      </c>
      <c r="E68" s="71">
        <f ca="1">SUMIFS(Grille!N:N,Grille!A:A,Grille_HT2!A68,Grille!C:C,Grille_HT2!B68,Grille!J:J,"Majeur")</f>
        <v>0</v>
      </c>
      <c r="F68" s="72">
        <f t="shared" ref="F68:F91" ca="1" si="13">IF(C68=0,"Non appliqué",IF(D68=0,"Non concerné",E68/D68))</f>
        <v>0</v>
      </c>
      <c r="G68" s="71">
        <f>SUMIFS(Grille!R:R,Grille!A:A,Grille_HT2!A68,Grille!C:C,Grille_HT2!B68,Grille!J:J,"Mineur")</f>
        <v>2</v>
      </c>
      <c r="H68" s="71">
        <f ca="1">SUMIFS(Grille!Q:Q,Grille!A:A,Grille_HT2!A68,Grille!C:C,Grille_HT2!B68,Grille!J:J,"Mineur")</f>
        <v>2</v>
      </c>
      <c r="I68" s="71">
        <f ca="1">SUMIFS(Grille!N:N,Grille!A:A,Grille_HT2!A68,Grille!C:C,Grille_HT2!B68,Grille!J:J,"Mineur")</f>
        <v>0</v>
      </c>
      <c r="J68" s="72">
        <f t="shared" ref="J68:J91" ca="1" si="14">IF(G68=0,"Non appliqué",IF(H68=0,"Non concerné",I68/H68))</f>
        <v>0</v>
      </c>
      <c r="K68" s="71">
        <v>5</v>
      </c>
      <c r="L68" s="73">
        <f t="shared" ref="L68:L91" ca="1" si="15">IF(D68&gt;0,K68/SUMIFS(K:K,A:A,A68,D:D,"&gt;0"),F68)</f>
        <v>5.8823529411764705E-2</v>
      </c>
      <c r="M68" s="73">
        <f t="shared" ref="M68:M91" ca="1" si="16">IF(H68&gt;0,K68/SUMIFS(K:K,A:A,A68,H:H,"&gt;0"),J68)</f>
        <v>6.25E-2</v>
      </c>
      <c r="N68" s="73">
        <f t="shared" ca="1" si="11"/>
        <v>0</v>
      </c>
      <c r="O68" s="73">
        <f t="shared" ref="O68:O91" ca="1" si="17">IF(SUMIFS(C:C,A:A,A68)=0,"Non appliqué",IF(SUMIFS(D:D,A:A,A68)&gt;=0,SUMIFS(N:N,A:A,A68),"Non concerné"))</f>
        <v>0</v>
      </c>
      <c r="P68" s="73">
        <f t="shared" ca="1" si="12"/>
        <v>0</v>
      </c>
      <c r="Q68" s="73">
        <f t="shared" ref="Q68:Q91" ca="1" si="18">IF(SUMIFS(G:G,A:A,A68)=0,"Non appliqué",IF(SUMIFS(H:H,A:A,A68)&gt;=0,SUMIFS(P:P,A:A,A68),"Non concerné"))</f>
        <v>0</v>
      </c>
      <c r="R68" s="77"/>
      <c r="S68" s="75"/>
      <c r="T68" s="75"/>
      <c r="U68" s="75"/>
      <c r="V68" s="76"/>
      <c r="W68" s="76"/>
      <c r="X68" s="76"/>
      <c r="Y68" s="134">
        <f t="shared" si="8"/>
        <v>51</v>
      </c>
    </row>
    <row r="69" spans="1:25" x14ac:dyDescent="0.3">
      <c r="A69" s="64" t="s">
        <v>739</v>
      </c>
      <c r="B69" s="64" t="s">
        <v>748</v>
      </c>
      <c r="C69" s="71">
        <f>SUMIFS(Grille!R:R,Grille!A:A,Grille_HT2!A69,Grille!C:C,Grille_HT2!B69,Grille!J:J,"Majeur")</f>
        <v>10</v>
      </c>
      <c r="D69" s="71">
        <f ca="1">SUMIFS(Grille!Q:Q,Grille!A:A,Grille_HT2!A69,Grille!C:C,Grille_HT2!B69,Grille!J:J,"Majeur")</f>
        <v>10</v>
      </c>
      <c r="E69" s="71">
        <f ca="1">SUMIFS(Grille!N:N,Grille!A:A,Grille_HT2!A69,Grille!C:C,Grille_HT2!B69,Grille!J:J,"Majeur")</f>
        <v>0</v>
      </c>
      <c r="F69" s="72">
        <f t="shared" ca="1" si="13"/>
        <v>0</v>
      </c>
      <c r="G69" s="71">
        <f>SUMIFS(Grille!R:R,Grille!A:A,Grille_HT2!A69,Grille!C:C,Grille_HT2!B69,Grille!J:J,"Mineur")</f>
        <v>4</v>
      </c>
      <c r="H69" s="71">
        <f ca="1">SUMIFS(Grille!Q:Q,Grille!A:A,Grille_HT2!A69,Grille!C:C,Grille_HT2!B69,Grille!J:J,"Mineur")</f>
        <v>4</v>
      </c>
      <c r="I69" s="71">
        <f ca="1">SUMIFS(Grille!N:N,Grille!A:A,Grille_HT2!A69,Grille!C:C,Grille_HT2!B69,Grille!J:J,"Mineur")</f>
        <v>0</v>
      </c>
      <c r="J69" s="72">
        <f t="shared" ca="1" si="14"/>
        <v>0</v>
      </c>
      <c r="K69" s="71">
        <v>20</v>
      </c>
      <c r="L69" s="73">
        <f t="shared" ca="1" si="15"/>
        <v>0.23529411764705882</v>
      </c>
      <c r="M69" s="73">
        <f t="shared" ca="1" si="16"/>
        <v>0.25</v>
      </c>
      <c r="N69" s="73">
        <f t="shared" ca="1" si="11"/>
        <v>0</v>
      </c>
      <c r="O69" s="73">
        <f t="shared" ca="1" si="17"/>
        <v>0</v>
      </c>
      <c r="P69" s="73">
        <f t="shared" ca="1" si="12"/>
        <v>0</v>
      </c>
      <c r="Q69" s="73">
        <f t="shared" ca="1" si="18"/>
        <v>0</v>
      </c>
      <c r="R69" s="77"/>
      <c r="S69" s="75"/>
      <c r="T69" s="75"/>
      <c r="U69" s="75"/>
      <c r="V69" s="76"/>
      <c r="W69" s="76"/>
      <c r="X69" s="76"/>
      <c r="Y69" s="134">
        <f t="shared" si="8"/>
        <v>52</v>
      </c>
    </row>
    <row r="70" spans="1:25" x14ac:dyDescent="0.3">
      <c r="A70" s="64" t="s">
        <v>739</v>
      </c>
      <c r="B70" s="64" t="s">
        <v>751</v>
      </c>
      <c r="C70" s="71">
        <f>SUMIFS(Grille!R:R,Grille!A:A,Grille_HT2!A70,Grille!C:C,Grille_HT2!B70,Grille!J:J,"Majeur")</f>
        <v>12</v>
      </c>
      <c r="D70" s="71">
        <f ca="1">SUMIFS(Grille!Q:Q,Grille!A:A,Grille_HT2!A70,Grille!C:C,Grille_HT2!B70,Grille!J:J,"Majeur")</f>
        <v>12</v>
      </c>
      <c r="E70" s="71">
        <f ca="1">SUMIFS(Grille!N:N,Grille!A:A,Grille_HT2!A70,Grille!C:C,Grille_HT2!B70,Grille!J:J,"Majeur")</f>
        <v>0</v>
      </c>
      <c r="F70" s="72">
        <f t="shared" ca="1" si="13"/>
        <v>0</v>
      </c>
      <c r="G70" s="71">
        <f>SUMIFS(Grille!R:R,Grille!A:A,Grille_HT2!A70,Grille!C:C,Grille_HT2!B70,Grille!J:J,"Mineur")</f>
        <v>0</v>
      </c>
      <c r="H70" s="71">
        <f>SUMIFS(Grille!Q:Q,Grille!A:A,Grille_HT2!A70,Grille!C:C,Grille_HT2!B70,Grille!J:J,"Mineur")</f>
        <v>0</v>
      </c>
      <c r="I70" s="71">
        <f>SUMIFS(Grille!N:N,Grille!A:A,Grille_HT2!A70,Grille!C:C,Grille_HT2!B70,Grille!J:J,"Mineur")</f>
        <v>0</v>
      </c>
      <c r="J70" s="72" t="str">
        <f t="shared" si="14"/>
        <v>Non appliqué</v>
      </c>
      <c r="K70" s="71">
        <v>5</v>
      </c>
      <c r="L70" s="73">
        <f t="shared" ca="1" si="15"/>
        <v>5.8823529411764705E-2</v>
      </c>
      <c r="M70" s="73" t="str">
        <f t="shared" si="16"/>
        <v>Non appliqué</v>
      </c>
      <c r="N70" s="73">
        <f t="shared" ca="1" si="11"/>
        <v>0</v>
      </c>
      <c r="O70" s="73">
        <f t="shared" ca="1" si="17"/>
        <v>0</v>
      </c>
      <c r="P70" s="73" t="str">
        <f t="shared" si="12"/>
        <v>Non appliqué</v>
      </c>
      <c r="Q70" s="73">
        <f t="shared" ca="1" si="18"/>
        <v>0</v>
      </c>
      <c r="R70" s="77"/>
      <c r="S70" s="75"/>
      <c r="T70" s="75"/>
      <c r="U70" s="75"/>
      <c r="V70" s="76"/>
      <c r="W70" s="76"/>
      <c r="X70" s="76"/>
      <c r="Y70" s="134">
        <f t="shared" si="8"/>
        <v>53</v>
      </c>
    </row>
    <row r="71" spans="1:25" x14ac:dyDescent="0.3">
      <c r="A71" s="64" t="s">
        <v>739</v>
      </c>
      <c r="B71" s="64" t="s">
        <v>752</v>
      </c>
      <c r="C71" s="71">
        <f>SUMIFS(Grille!R:R,Grille!A:A,Grille_HT2!A71,Grille!C:C,Grille_HT2!B71,Grille!J:J,"Majeur")</f>
        <v>0</v>
      </c>
      <c r="D71" s="71">
        <f>SUMIFS(Grille!Q:Q,Grille!A:A,Grille_HT2!A71,Grille!C:C,Grille_HT2!B71,Grille!J:J,"Majeur")</f>
        <v>0</v>
      </c>
      <c r="E71" s="71">
        <f>SUMIFS(Grille!N:N,Grille!A:A,Grille_HT2!A71,Grille!C:C,Grille_HT2!B71,Grille!J:J,"Majeur")</f>
        <v>0</v>
      </c>
      <c r="F71" s="72" t="str">
        <f t="shared" si="13"/>
        <v>Non appliqué</v>
      </c>
      <c r="G71" s="71">
        <f>SUMIFS(Grille!R:R,Grille!A:A,Grille_HT2!A71,Grille!C:C,Grille_HT2!B71,Grille!J:J,"Mineur")</f>
        <v>12</v>
      </c>
      <c r="H71" s="71">
        <f ca="1">SUMIFS(Grille!Q:Q,Grille!A:A,Grille_HT2!A71,Grille!C:C,Grille_HT2!B71,Grille!J:J,"Mineur")</f>
        <v>12</v>
      </c>
      <c r="I71" s="71">
        <f ca="1">SUMIFS(Grille!N:N,Grille!A:A,Grille_HT2!A71,Grille!C:C,Grille_HT2!B71,Grille!J:J,"Mineur")</f>
        <v>0</v>
      </c>
      <c r="J71" s="72">
        <f t="shared" ca="1" si="14"/>
        <v>0</v>
      </c>
      <c r="K71" s="71">
        <v>5</v>
      </c>
      <c r="L71" s="73" t="str">
        <f t="shared" si="15"/>
        <v>Non appliqué</v>
      </c>
      <c r="M71" s="73">
        <f t="shared" ca="1" si="16"/>
        <v>6.25E-2</v>
      </c>
      <c r="N71" s="73" t="str">
        <f t="shared" si="11"/>
        <v>Non appliqué</v>
      </c>
      <c r="O71" s="73">
        <f t="shared" ca="1" si="17"/>
        <v>0</v>
      </c>
      <c r="P71" s="73">
        <f t="shared" ca="1" si="12"/>
        <v>0</v>
      </c>
      <c r="Q71" s="73">
        <f t="shared" ca="1" si="18"/>
        <v>0</v>
      </c>
      <c r="R71" s="77"/>
      <c r="S71" s="75"/>
      <c r="T71" s="75"/>
      <c r="U71" s="75"/>
      <c r="V71" s="76"/>
      <c r="W71" s="76"/>
      <c r="X71" s="76"/>
      <c r="Y71" s="134">
        <f t="shared" ref="Y71:Y91" si="19">Y70+1</f>
        <v>54</v>
      </c>
    </row>
    <row r="72" spans="1:25" ht="25.2" x14ac:dyDescent="0.3">
      <c r="A72" s="64" t="s">
        <v>739</v>
      </c>
      <c r="B72" s="64" t="s">
        <v>753</v>
      </c>
      <c r="C72" s="71">
        <f>SUMIFS(Grille!R:R,Grille!A:A,Grille_HT2!A72,Grille!C:C,Grille_HT2!B72,Grille!J:J,"Majeur")</f>
        <v>8</v>
      </c>
      <c r="D72" s="71">
        <f ca="1">SUMIFS(Grille!Q:Q,Grille!A:A,Grille_HT2!A72,Grille!C:C,Grille_HT2!B72,Grille!J:J,"Majeur")</f>
        <v>8</v>
      </c>
      <c r="E72" s="71">
        <f ca="1">SUMIFS(Grille!N:N,Grille!A:A,Grille_HT2!A72,Grille!C:C,Grille_HT2!B72,Grille!J:J,"Majeur")</f>
        <v>0</v>
      </c>
      <c r="F72" s="72">
        <f t="shared" ca="1" si="13"/>
        <v>0</v>
      </c>
      <c r="G72" s="71">
        <f>SUMIFS(Grille!R:R,Grille!A:A,Grille_HT2!A72,Grille!C:C,Grille_HT2!B72,Grille!J:J,"Mineur")</f>
        <v>4</v>
      </c>
      <c r="H72" s="71">
        <f ca="1">SUMIFS(Grille!Q:Q,Grille!A:A,Grille_HT2!A72,Grille!C:C,Grille_HT2!B72,Grille!J:J,"Mineur")</f>
        <v>4</v>
      </c>
      <c r="I72" s="71">
        <f ca="1">SUMIFS(Grille!N:N,Grille!A:A,Grille_HT2!A72,Grille!C:C,Grille_HT2!B72,Grille!J:J,"Mineur")</f>
        <v>0</v>
      </c>
      <c r="J72" s="72">
        <f t="shared" ca="1" si="14"/>
        <v>0</v>
      </c>
      <c r="K72" s="71">
        <v>7.5</v>
      </c>
      <c r="L72" s="73">
        <f t="shared" ca="1" si="15"/>
        <v>8.8235294117647065E-2</v>
      </c>
      <c r="M72" s="73">
        <f t="shared" ca="1" si="16"/>
        <v>9.375E-2</v>
      </c>
      <c r="N72" s="73">
        <f t="shared" ca="1" si="11"/>
        <v>0</v>
      </c>
      <c r="O72" s="73">
        <f t="shared" ca="1" si="17"/>
        <v>0</v>
      </c>
      <c r="P72" s="73">
        <f t="shared" ca="1" si="12"/>
        <v>0</v>
      </c>
      <c r="Q72" s="73">
        <f t="shared" ca="1" si="18"/>
        <v>0</v>
      </c>
      <c r="R72" s="77"/>
      <c r="S72" s="75"/>
      <c r="T72" s="75"/>
      <c r="U72" s="75"/>
      <c r="V72" s="76"/>
      <c r="W72" s="76"/>
      <c r="X72" s="76"/>
      <c r="Y72" s="134">
        <f t="shared" si="19"/>
        <v>55</v>
      </c>
    </row>
    <row r="73" spans="1:25" x14ac:dyDescent="0.3">
      <c r="A73" s="64" t="s">
        <v>739</v>
      </c>
      <c r="B73" s="64" t="s">
        <v>755</v>
      </c>
      <c r="C73" s="71">
        <f>SUMIFS(Grille!R:R,Grille!A:A,Grille_HT2!A73,Grille!C:C,Grille_HT2!B73,Grille!J:J,"Majeur")</f>
        <v>0</v>
      </c>
      <c r="D73" s="71">
        <f>SUMIFS(Grille!Q:Q,Grille!A:A,Grille_HT2!A73,Grille!C:C,Grille_HT2!B73,Grille!J:J,"Majeur")</f>
        <v>0</v>
      </c>
      <c r="E73" s="71">
        <f>SUMIFS(Grille!N:N,Grille!A:A,Grille_HT2!A73,Grille!C:C,Grille_HT2!B73,Grille!J:J,"Majeur")</f>
        <v>0</v>
      </c>
      <c r="F73" s="72" t="str">
        <f t="shared" si="13"/>
        <v>Non appliqué</v>
      </c>
      <c r="G73" s="71">
        <f>SUMIFS(Grille!R:R,Grille!A:A,Grille_HT2!A73,Grille!C:C,Grille_HT2!B73,Grille!J:J,"Mineur")</f>
        <v>0</v>
      </c>
      <c r="H73" s="71">
        <f>SUMIFS(Grille!Q:Q,Grille!A:A,Grille_HT2!A73,Grille!C:C,Grille_HT2!B73,Grille!J:J,"Mineur")</f>
        <v>0</v>
      </c>
      <c r="I73" s="71">
        <f>SUMIFS(Grille!N:N,Grille!A:A,Grille_HT2!A73,Grille!C:C,Grille_HT2!B73,Grille!J:J,"Mineur")</f>
        <v>0</v>
      </c>
      <c r="J73" s="72" t="str">
        <f t="shared" si="14"/>
        <v>Non appliqué</v>
      </c>
      <c r="K73" s="71">
        <v>10</v>
      </c>
      <c r="L73" s="73" t="str">
        <f t="shared" si="15"/>
        <v>Non appliqué</v>
      </c>
      <c r="M73" s="73" t="str">
        <f t="shared" si="16"/>
        <v>Non appliqué</v>
      </c>
      <c r="N73" s="73" t="str">
        <f t="shared" si="11"/>
        <v>Non appliqué</v>
      </c>
      <c r="O73" s="73">
        <f t="shared" ca="1" si="17"/>
        <v>0</v>
      </c>
      <c r="P73" s="73" t="str">
        <f t="shared" si="12"/>
        <v>Non appliqué</v>
      </c>
      <c r="Q73" s="73">
        <f t="shared" ca="1" si="18"/>
        <v>0</v>
      </c>
      <c r="R73" s="77"/>
      <c r="S73" s="75"/>
      <c r="T73" s="75"/>
      <c r="U73" s="75"/>
      <c r="V73" s="76"/>
      <c r="W73" s="76"/>
      <c r="X73" s="76"/>
      <c r="Y73" s="134">
        <f t="shared" si="19"/>
        <v>56</v>
      </c>
    </row>
    <row r="74" spans="1:25" x14ac:dyDescent="0.3">
      <c r="A74" s="64" t="s">
        <v>739</v>
      </c>
      <c r="B74" s="64" t="s">
        <v>756</v>
      </c>
      <c r="C74" s="71">
        <f>SUMIFS(Grille!R:R,Grille!A:A,Grille_HT2!A74,Grille!C:C,Grille_HT2!B74,Grille!J:J,"Majeur")</f>
        <v>2</v>
      </c>
      <c r="D74" s="71">
        <f ca="1">SUMIFS(Grille!Q:Q,Grille!A:A,Grille_HT2!A74,Grille!C:C,Grille_HT2!B74,Grille!J:J,"Majeur")</f>
        <v>2</v>
      </c>
      <c r="E74" s="71">
        <f ca="1">SUMIFS(Grille!N:N,Grille!A:A,Grille_HT2!A74,Grille!C:C,Grille_HT2!B74,Grille!J:J,"Majeur")</f>
        <v>0</v>
      </c>
      <c r="F74" s="72">
        <f t="shared" ca="1" si="13"/>
        <v>0</v>
      </c>
      <c r="G74" s="71">
        <f>SUMIFS(Grille!R:R,Grille!A:A,Grille_HT2!A74,Grille!C:C,Grille_HT2!B74,Grille!J:J,"Mineur")</f>
        <v>2</v>
      </c>
      <c r="H74" s="71">
        <f ca="1">SUMIFS(Grille!Q:Q,Grille!A:A,Grille_HT2!A74,Grille!C:C,Grille_HT2!B74,Grille!J:J,"Mineur")</f>
        <v>2</v>
      </c>
      <c r="I74" s="71">
        <f ca="1">SUMIFS(Grille!N:N,Grille!A:A,Grille_HT2!A74,Grille!C:C,Grille_HT2!B74,Grille!J:J,"Mineur")</f>
        <v>0</v>
      </c>
      <c r="J74" s="72">
        <f t="shared" ca="1" si="14"/>
        <v>0</v>
      </c>
      <c r="K74" s="71">
        <v>10</v>
      </c>
      <c r="L74" s="73">
        <f t="shared" ca="1" si="15"/>
        <v>0.11764705882352941</v>
      </c>
      <c r="M74" s="73">
        <f t="shared" ca="1" si="16"/>
        <v>0.125</v>
      </c>
      <c r="N74" s="73">
        <f t="shared" ca="1" si="11"/>
        <v>0</v>
      </c>
      <c r="O74" s="73">
        <f t="shared" ca="1" si="17"/>
        <v>0</v>
      </c>
      <c r="P74" s="73">
        <f t="shared" ca="1" si="12"/>
        <v>0</v>
      </c>
      <c r="Q74" s="73">
        <f t="shared" ca="1" si="18"/>
        <v>0</v>
      </c>
      <c r="R74" s="77"/>
      <c r="S74" s="75"/>
      <c r="T74" s="75"/>
      <c r="U74" s="75"/>
      <c r="V74" s="76"/>
      <c r="W74" s="76"/>
      <c r="X74" s="76"/>
      <c r="Y74" s="134">
        <f t="shared" si="19"/>
        <v>57</v>
      </c>
    </row>
    <row r="75" spans="1:25" x14ac:dyDescent="0.3">
      <c r="A75" s="4"/>
      <c r="B75" s="4" t="str">
        <f>A76</f>
        <v>Salle de bain et toilettes</v>
      </c>
      <c r="C75" s="5"/>
      <c r="D75" s="5"/>
      <c r="E75" s="5"/>
      <c r="F75" s="5"/>
      <c r="G75" s="9"/>
      <c r="H75" s="9"/>
      <c r="I75" s="9"/>
      <c r="J75" s="6"/>
      <c r="K75" s="5"/>
      <c r="L75" s="5"/>
      <c r="M75" s="5"/>
      <c r="N75" s="6"/>
      <c r="O75" s="6"/>
      <c r="P75" s="6"/>
      <c r="Q75" s="6"/>
      <c r="R75" s="70">
        <v>10</v>
      </c>
      <c r="S75" s="7">
        <f t="shared" ref="S75:S88" ca="1" si="20">IF(SUMIF($A:$A,$A76,D:D)&gt;0,R75/SUM($R:$R),O76)</f>
        <v>0.1</v>
      </c>
      <c r="T75" s="7">
        <f ca="1">IFERROR(S75/SUM(S:S),S75)</f>
        <v>0.13888888888888887</v>
      </c>
      <c r="U75" s="7">
        <f ca="1">IFERROR(T75*O76,T75)</f>
        <v>0</v>
      </c>
      <c r="V75" s="7">
        <f t="shared" ref="V75:V88" ca="1" si="21">IF(SUMIF($A:$A,$A76,H:H)&gt;0,R75/SUM(R:R),Q76)</f>
        <v>0.1</v>
      </c>
      <c r="W75" s="7">
        <f ca="1">IFERROR(V75/SUM(V:V),V75)</f>
        <v>0.14705882352941177</v>
      </c>
      <c r="X75" s="7">
        <f ca="1">IFERROR(W75*Q76,W75)</f>
        <v>0</v>
      </c>
    </row>
    <row r="76" spans="1:25" x14ac:dyDescent="0.3">
      <c r="A76" s="64" t="s">
        <v>757</v>
      </c>
      <c r="B76" s="64" t="s">
        <v>682</v>
      </c>
      <c r="C76" s="71">
        <f>SUMIFS(Grille!R:R,Grille!A:A,Grille_HT2!A76,Grille!C:C,Grille_HT2!B76,Grille!J:J,"Majeur")</f>
        <v>10</v>
      </c>
      <c r="D76" s="71">
        <f ca="1">SUMIFS(Grille!Q:Q,Grille!A:A,Grille_HT2!A76,Grille!C:C,Grille_HT2!B76,Grille!J:J,"Majeur")</f>
        <v>10</v>
      </c>
      <c r="E76" s="71">
        <f ca="1">SUMIFS(Grille!N:N,Grille!A:A,Grille_HT2!A76,Grille!C:C,Grille_HT2!B76,Grille!J:J,"Majeur")</f>
        <v>0</v>
      </c>
      <c r="F76" s="72">
        <f t="shared" ca="1" si="13"/>
        <v>0</v>
      </c>
      <c r="G76" s="71">
        <f>SUMIFS(Grille!R:R,Grille!A:A,Grille_HT2!A76,Grille!C:C,Grille_HT2!B76,Grille!J:J,"Mineur")</f>
        <v>1</v>
      </c>
      <c r="H76" s="71">
        <f ca="1">SUMIFS(Grille!Q:Q,Grille!A:A,Grille_HT2!A76,Grille!C:C,Grille_HT2!B76,Grille!J:J,"Mineur")</f>
        <v>1</v>
      </c>
      <c r="I76" s="71">
        <f ca="1">SUMIFS(Grille!N:N,Grille!A:A,Grille_HT2!A76,Grille!C:C,Grille_HT2!B76,Grille!J:J,"Mineur")</f>
        <v>0</v>
      </c>
      <c r="J76" s="72">
        <f t="shared" ca="1" si="14"/>
        <v>0</v>
      </c>
      <c r="K76" s="71">
        <v>10</v>
      </c>
      <c r="L76" s="73">
        <f t="shared" ca="1" si="15"/>
        <v>0.10989010989010989</v>
      </c>
      <c r="M76" s="73">
        <f t="shared" ca="1" si="16"/>
        <v>0.14285714285714285</v>
      </c>
      <c r="N76" s="73">
        <f t="shared" ref="N76:N83" ca="1" si="22">IF(ISNUMBER(F76),F76*L76,F76)</f>
        <v>0</v>
      </c>
      <c r="O76" s="73">
        <f t="shared" ca="1" si="17"/>
        <v>0</v>
      </c>
      <c r="P76" s="73">
        <f t="shared" ref="P76:P83" ca="1" si="23">IF(ISNUMBER(J76),J76*M76,J76)</f>
        <v>0</v>
      </c>
      <c r="Q76" s="73">
        <f t="shared" ca="1" si="18"/>
        <v>0</v>
      </c>
      <c r="R76" s="77"/>
      <c r="S76" s="75"/>
      <c r="T76" s="75"/>
      <c r="U76" s="75"/>
      <c r="V76" s="76"/>
      <c r="W76" s="76"/>
      <c r="X76" s="76"/>
      <c r="Y76" s="134">
        <f>Y74+1</f>
        <v>58</v>
      </c>
    </row>
    <row r="77" spans="1:25" x14ac:dyDescent="0.3">
      <c r="A77" s="64" t="s">
        <v>757</v>
      </c>
      <c r="B77" s="64" t="s">
        <v>675</v>
      </c>
      <c r="C77" s="71">
        <f>SUMIFS(Grille!R:R,Grille!A:A,Grille_HT2!A77,Grille!C:C,Grille_HT2!B77,Grille!J:J,"Majeur")</f>
        <v>11</v>
      </c>
      <c r="D77" s="71">
        <f ca="1">SUMIFS(Grille!Q:Q,Grille!A:A,Grille_HT2!A77,Grille!C:C,Grille_HT2!B77,Grille!J:J,"Majeur")</f>
        <v>11</v>
      </c>
      <c r="E77" s="71">
        <f ca="1">SUMIFS(Grille!N:N,Grille!A:A,Grille_HT2!A77,Grille!C:C,Grille_HT2!B77,Grille!J:J,"Majeur")</f>
        <v>0</v>
      </c>
      <c r="F77" s="72">
        <f t="shared" ca="1" si="13"/>
        <v>0</v>
      </c>
      <c r="G77" s="71">
        <f>SUMIFS(Grille!R:R,Grille!A:A,Grille_HT2!A77,Grille!C:C,Grille_HT2!B77,Grille!J:J,"Mineur")</f>
        <v>2</v>
      </c>
      <c r="H77" s="71">
        <f ca="1">SUMIFS(Grille!Q:Q,Grille!A:A,Grille_HT2!A77,Grille!C:C,Grille_HT2!B77,Grille!J:J,"Mineur")</f>
        <v>2</v>
      </c>
      <c r="I77" s="71">
        <f ca="1">SUMIFS(Grille!N:N,Grille!A:A,Grille_HT2!A77,Grille!C:C,Grille_HT2!B77,Grille!J:J,"Mineur")</f>
        <v>0</v>
      </c>
      <c r="J77" s="72">
        <f t="shared" ca="1" si="14"/>
        <v>0</v>
      </c>
      <c r="K77" s="71">
        <v>10</v>
      </c>
      <c r="L77" s="73">
        <f t="shared" ca="1" si="15"/>
        <v>0.10989010989010989</v>
      </c>
      <c r="M77" s="73">
        <f t="shared" ca="1" si="16"/>
        <v>0.14285714285714285</v>
      </c>
      <c r="N77" s="73">
        <f t="shared" ca="1" si="22"/>
        <v>0</v>
      </c>
      <c r="O77" s="73">
        <f t="shared" ca="1" si="17"/>
        <v>0</v>
      </c>
      <c r="P77" s="73">
        <f t="shared" ca="1" si="23"/>
        <v>0</v>
      </c>
      <c r="Q77" s="73">
        <f t="shared" ca="1" si="18"/>
        <v>0</v>
      </c>
      <c r="R77" s="77"/>
      <c r="S77" s="75"/>
      <c r="T77" s="75"/>
      <c r="U77" s="75"/>
      <c r="V77" s="76"/>
      <c r="W77" s="76"/>
      <c r="X77" s="76"/>
      <c r="Y77" s="134">
        <f t="shared" si="19"/>
        <v>59</v>
      </c>
    </row>
    <row r="78" spans="1:25" x14ac:dyDescent="0.3">
      <c r="A78" s="64" t="s">
        <v>757</v>
      </c>
      <c r="B78" s="64" t="s">
        <v>759</v>
      </c>
      <c r="C78" s="71">
        <f>SUMIFS(Grille!R:R,Grille!A:A,Grille_HT2!A78,Grille!C:C,Grille_HT2!B78,Grille!J:J,"Majeur")</f>
        <v>22</v>
      </c>
      <c r="D78" s="71">
        <f ca="1">SUMIFS(Grille!Q:Q,Grille!A:A,Grille_HT2!A78,Grille!C:C,Grille_HT2!B78,Grille!J:J,"Majeur")</f>
        <v>22</v>
      </c>
      <c r="E78" s="71">
        <f ca="1">SUMIFS(Grille!N:N,Grille!A:A,Grille_HT2!A78,Grille!C:C,Grille_HT2!B78,Grille!J:J,"Majeur")</f>
        <v>0</v>
      </c>
      <c r="F78" s="72">
        <f t="shared" ca="1" si="13"/>
        <v>0</v>
      </c>
      <c r="G78" s="71">
        <f>SUMIFS(Grille!R:R,Grille!A:A,Grille_HT2!A78,Grille!C:C,Grille_HT2!B78,Grille!J:J,"Mineur")</f>
        <v>5</v>
      </c>
      <c r="H78" s="71">
        <f ca="1">SUMIFS(Grille!Q:Q,Grille!A:A,Grille_HT2!A78,Grille!C:C,Grille_HT2!B78,Grille!J:J,"Mineur")</f>
        <v>5</v>
      </c>
      <c r="I78" s="71">
        <f ca="1">SUMIFS(Grille!N:N,Grille!A:A,Grille_HT2!A78,Grille!C:C,Grille_HT2!B78,Grille!J:J,"Mineur")</f>
        <v>0</v>
      </c>
      <c r="J78" s="72">
        <f t="shared" ca="1" si="14"/>
        <v>0</v>
      </c>
      <c r="K78" s="71">
        <v>20</v>
      </c>
      <c r="L78" s="73">
        <f t="shared" ca="1" si="15"/>
        <v>0.21978021978021978</v>
      </c>
      <c r="M78" s="73">
        <f t="shared" ca="1" si="16"/>
        <v>0.2857142857142857</v>
      </c>
      <c r="N78" s="73">
        <f t="shared" ca="1" si="22"/>
        <v>0</v>
      </c>
      <c r="O78" s="73">
        <f t="shared" ca="1" si="17"/>
        <v>0</v>
      </c>
      <c r="P78" s="73">
        <f t="shared" ca="1" si="23"/>
        <v>0</v>
      </c>
      <c r="Q78" s="73">
        <f t="shared" ca="1" si="18"/>
        <v>0</v>
      </c>
      <c r="R78" s="77"/>
      <c r="S78" s="75"/>
      <c r="T78" s="75"/>
      <c r="U78" s="75"/>
      <c r="V78" s="76"/>
      <c r="W78" s="76"/>
      <c r="X78" s="76"/>
      <c r="Y78" s="134">
        <f t="shared" si="19"/>
        <v>60</v>
      </c>
    </row>
    <row r="79" spans="1:25" x14ac:dyDescent="0.3">
      <c r="A79" s="64" t="s">
        <v>757</v>
      </c>
      <c r="B79" s="64" t="s">
        <v>761</v>
      </c>
      <c r="C79" s="71">
        <f>SUMIFS(Grille!R:R,Grille!A:A,Grille_HT2!A79,Grille!C:C,Grille_HT2!B79,Grille!J:J,"Majeur")</f>
        <v>0</v>
      </c>
      <c r="D79" s="71">
        <f>SUMIFS(Grille!Q:Q,Grille!A:A,Grille_HT2!A79,Grille!C:C,Grille_HT2!B79,Grille!J:J,"Majeur")</f>
        <v>0</v>
      </c>
      <c r="E79" s="71">
        <f>SUMIFS(Grille!N:N,Grille!A:A,Grille_HT2!A79,Grille!C:C,Grille_HT2!B79,Grille!J:J,"Majeur")</f>
        <v>0</v>
      </c>
      <c r="F79" s="72" t="str">
        <f t="shared" si="13"/>
        <v>Non appliqué</v>
      </c>
      <c r="G79" s="71">
        <f>SUMIFS(Grille!R:R,Grille!A:A,Grille_HT2!A79,Grille!C:C,Grille_HT2!B79,Grille!J:J,"Mineur")</f>
        <v>0</v>
      </c>
      <c r="H79" s="71">
        <f>SUMIFS(Grille!Q:Q,Grille!A:A,Grille_HT2!A79,Grille!C:C,Grille_HT2!B79,Grille!J:J,"Mineur")</f>
        <v>0</v>
      </c>
      <c r="I79" s="71">
        <f>SUMIFS(Grille!N:N,Grille!A:A,Grille_HT2!A79,Grille!C:C,Grille_HT2!B79,Grille!J:J,"Mineur")</f>
        <v>0</v>
      </c>
      <c r="J79" s="72" t="str">
        <f t="shared" si="14"/>
        <v>Non appliqué</v>
      </c>
      <c r="K79" s="71">
        <v>10</v>
      </c>
      <c r="L79" s="73" t="str">
        <f t="shared" si="15"/>
        <v>Non appliqué</v>
      </c>
      <c r="M79" s="73" t="str">
        <f t="shared" si="16"/>
        <v>Non appliqué</v>
      </c>
      <c r="N79" s="73" t="str">
        <f t="shared" si="22"/>
        <v>Non appliqué</v>
      </c>
      <c r="O79" s="73">
        <f t="shared" ca="1" si="17"/>
        <v>0</v>
      </c>
      <c r="P79" s="73" t="str">
        <f t="shared" si="23"/>
        <v>Non appliqué</v>
      </c>
      <c r="Q79" s="73">
        <f t="shared" ca="1" si="18"/>
        <v>0</v>
      </c>
      <c r="R79" s="77"/>
      <c r="S79" s="75"/>
      <c r="T79" s="75"/>
      <c r="U79" s="75"/>
      <c r="V79" s="76"/>
      <c r="W79" s="76"/>
      <c r="X79" s="76"/>
      <c r="Y79" s="134">
        <f t="shared" si="19"/>
        <v>61</v>
      </c>
    </row>
    <row r="80" spans="1:25" ht="25.2" x14ac:dyDescent="0.3">
      <c r="A80" s="64" t="s">
        <v>757</v>
      </c>
      <c r="B80" s="64" t="s">
        <v>762</v>
      </c>
      <c r="C80" s="71">
        <f>SUMIFS(Grille!R:R,Grille!A:A,Grille_HT2!A80,Grille!C:C,Grille_HT2!B80,Grille!J:J,"Majeur")</f>
        <v>10</v>
      </c>
      <c r="D80" s="71">
        <f ca="1">SUMIFS(Grille!Q:Q,Grille!A:A,Grille_HT2!A80,Grille!C:C,Grille_HT2!B80,Grille!J:J,"Majeur")</f>
        <v>10</v>
      </c>
      <c r="E80" s="71">
        <f ca="1">SUMIFS(Grille!N:N,Grille!A:A,Grille_HT2!A80,Grille!C:C,Grille_HT2!B80,Grille!J:J,"Majeur")</f>
        <v>0</v>
      </c>
      <c r="F80" s="72">
        <f t="shared" ca="1" si="13"/>
        <v>0</v>
      </c>
      <c r="G80" s="71">
        <f>SUMIFS(Grille!R:R,Grille!A:A,Grille_HT2!A80,Grille!C:C,Grille_HT2!B80,Grille!J:J,"Mineur")</f>
        <v>0</v>
      </c>
      <c r="H80" s="71">
        <f>SUMIFS(Grille!Q:Q,Grille!A:A,Grille_HT2!A80,Grille!C:C,Grille_HT2!B80,Grille!J:J,"Mineur")</f>
        <v>0</v>
      </c>
      <c r="I80" s="71">
        <f>SUMIFS(Grille!N:N,Grille!A:A,Grille_HT2!A80,Grille!C:C,Grille_HT2!B80,Grille!J:J,"Mineur")</f>
        <v>0</v>
      </c>
      <c r="J80" s="72" t="str">
        <f t="shared" si="14"/>
        <v>Non appliqué</v>
      </c>
      <c r="K80" s="71">
        <v>10</v>
      </c>
      <c r="L80" s="73">
        <f t="shared" ca="1" si="15"/>
        <v>0.10989010989010989</v>
      </c>
      <c r="M80" s="73" t="str">
        <f t="shared" si="16"/>
        <v>Non appliqué</v>
      </c>
      <c r="N80" s="73">
        <f t="shared" ca="1" si="22"/>
        <v>0</v>
      </c>
      <c r="O80" s="73">
        <f t="shared" ca="1" si="17"/>
        <v>0</v>
      </c>
      <c r="P80" s="73" t="str">
        <f t="shared" si="23"/>
        <v>Non appliqué</v>
      </c>
      <c r="Q80" s="73">
        <f t="shared" ca="1" si="18"/>
        <v>0</v>
      </c>
      <c r="R80" s="77"/>
      <c r="S80" s="75"/>
      <c r="T80" s="75"/>
      <c r="U80" s="75"/>
      <c r="V80" s="76"/>
      <c r="W80" s="76"/>
      <c r="X80" s="76"/>
      <c r="Y80" s="134">
        <f t="shared" si="19"/>
        <v>62</v>
      </c>
    </row>
    <row r="81" spans="1:25" x14ac:dyDescent="0.3">
      <c r="A81" s="64" t="s">
        <v>757</v>
      </c>
      <c r="B81" s="64" t="s">
        <v>763</v>
      </c>
      <c r="C81" s="71">
        <f>SUMIFS(Grille!R:R,Grille!A:A,Grille_HT2!A81,Grille!C:C,Grille_HT2!B81,Grille!J:J,"Majeur")</f>
        <v>12</v>
      </c>
      <c r="D81" s="71">
        <f ca="1">SUMIFS(Grille!Q:Q,Grille!A:A,Grille_HT2!A81,Grille!C:C,Grille_HT2!B81,Grille!J:J,"Majeur")</f>
        <v>12</v>
      </c>
      <c r="E81" s="71">
        <f ca="1">SUMIFS(Grille!N:N,Grille!A:A,Grille_HT2!A81,Grille!C:C,Grille_HT2!B81,Grille!J:J,"Majeur")</f>
        <v>0</v>
      </c>
      <c r="F81" s="72">
        <f t="shared" ca="1" si="13"/>
        <v>0</v>
      </c>
      <c r="G81" s="71">
        <f>SUMIFS(Grille!R:R,Grille!A:A,Grille_HT2!A81,Grille!C:C,Grille_HT2!B81,Grille!J:J,"Mineur")</f>
        <v>0</v>
      </c>
      <c r="H81" s="71">
        <f>SUMIFS(Grille!Q:Q,Grille!A:A,Grille_HT2!A81,Grille!C:C,Grille_HT2!B81,Grille!J:J,"Mineur")</f>
        <v>0</v>
      </c>
      <c r="I81" s="71">
        <f>SUMIFS(Grille!N:N,Grille!A:A,Grille_HT2!A81,Grille!C:C,Grille_HT2!B81,Grille!J:J,"Mineur")</f>
        <v>0</v>
      </c>
      <c r="J81" s="72" t="str">
        <f t="shared" si="14"/>
        <v>Non appliqué</v>
      </c>
      <c r="K81" s="71">
        <v>11</v>
      </c>
      <c r="L81" s="73">
        <f t="shared" ca="1" si="15"/>
        <v>0.12087912087912088</v>
      </c>
      <c r="M81" s="73" t="str">
        <f t="shared" si="16"/>
        <v>Non appliqué</v>
      </c>
      <c r="N81" s="73">
        <f ca="1">IF(ISNUMBER(F81),F81*L81,F81)</f>
        <v>0</v>
      </c>
      <c r="O81" s="73">
        <f t="shared" ca="1" si="17"/>
        <v>0</v>
      </c>
      <c r="P81" s="73" t="str">
        <f>IF(ISNUMBER(J81),J81*M81,J81)</f>
        <v>Non appliqué</v>
      </c>
      <c r="Q81" s="73">
        <f t="shared" ca="1" si="18"/>
        <v>0</v>
      </c>
      <c r="R81" s="77"/>
      <c r="S81" s="75"/>
      <c r="T81" s="75"/>
      <c r="U81" s="75"/>
      <c r="V81" s="76"/>
      <c r="W81" s="76"/>
      <c r="X81" s="76"/>
      <c r="Y81" s="134">
        <f t="shared" si="19"/>
        <v>63</v>
      </c>
    </row>
    <row r="82" spans="1:25" x14ac:dyDescent="0.3">
      <c r="A82" s="64" t="s">
        <v>757</v>
      </c>
      <c r="B82" s="64" t="s">
        <v>765</v>
      </c>
      <c r="C82" s="71">
        <f>SUMIFS(Grille!R:R,Grille!A:A,Grille_HT2!A82,Grille!C:C,Grille_HT2!B82,Grille!J:J,"Majeur")</f>
        <v>4</v>
      </c>
      <c r="D82" s="71">
        <f ca="1">SUMIFS(Grille!Q:Q,Grille!A:A,Grille_HT2!A82,Grille!C:C,Grille_HT2!B82,Grille!J:J,"Majeur")</f>
        <v>4</v>
      </c>
      <c r="E82" s="71">
        <f ca="1">SUMIFS(Grille!N:N,Grille!A:A,Grille_HT2!A82,Grille!C:C,Grille_HT2!B82,Grille!J:J,"Majeur")</f>
        <v>0</v>
      </c>
      <c r="F82" s="72">
        <f t="shared" ca="1" si="13"/>
        <v>0</v>
      </c>
      <c r="G82" s="71">
        <f>SUMIFS(Grille!R:R,Grille!A:A,Grille_HT2!A82,Grille!C:C,Grille_HT2!B82,Grille!J:J,"Mineur")</f>
        <v>7</v>
      </c>
      <c r="H82" s="71">
        <f ca="1">SUMIFS(Grille!Q:Q,Grille!A:A,Grille_HT2!A82,Grille!C:C,Grille_HT2!B82,Grille!J:J,"Mineur")</f>
        <v>7</v>
      </c>
      <c r="I82" s="71">
        <f ca="1">SUMIFS(Grille!N:N,Grille!A:A,Grille_HT2!A82,Grille!C:C,Grille_HT2!B82,Grille!J:J,"Mineur")</f>
        <v>0</v>
      </c>
      <c r="J82" s="72">
        <f t="shared" ca="1" si="14"/>
        <v>0</v>
      </c>
      <c r="K82" s="71">
        <v>10</v>
      </c>
      <c r="L82" s="73">
        <f t="shared" ca="1" si="15"/>
        <v>0.10989010989010989</v>
      </c>
      <c r="M82" s="73">
        <f t="shared" ca="1" si="16"/>
        <v>0.14285714285714285</v>
      </c>
      <c r="N82" s="73">
        <f t="shared" ca="1" si="22"/>
        <v>0</v>
      </c>
      <c r="O82" s="73">
        <f t="shared" ca="1" si="17"/>
        <v>0</v>
      </c>
      <c r="P82" s="73">
        <f t="shared" ca="1" si="23"/>
        <v>0</v>
      </c>
      <c r="Q82" s="73">
        <f t="shared" ca="1" si="18"/>
        <v>0</v>
      </c>
      <c r="R82" s="77"/>
      <c r="S82" s="75"/>
      <c r="T82" s="75"/>
      <c r="U82" s="75"/>
      <c r="V82" s="76"/>
      <c r="W82" s="76"/>
      <c r="X82" s="76"/>
      <c r="Y82" s="134">
        <f t="shared" si="19"/>
        <v>64</v>
      </c>
    </row>
    <row r="83" spans="1:25" x14ac:dyDescent="0.3">
      <c r="A83" s="64" t="s">
        <v>757</v>
      </c>
      <c r="B83" s="64" t="s">
        <v>766</v>
      </c>
      <c r="C83" s="71">
        <f>SUMIFS(Grille!R:R,Grille!A:A,Grille_HT2!A83,Grille!C:C,Grille_HT2!B83,Grille!J:J,"Majeur")</f>
        <v>10</v>
      </c>
      <c r="D83" s="71">
        <f ca="1">SUMIFS(Grille!Q:Q,Grille!A:A,Grille_HT2!A83,Grille!C:C,Grille_HT2!B83,Grille!J:J,"Majeur")</f>
        <v>10</v>
      </c>
      <c r="E83" s="71">
        <f ca="1">SUMIFS(Grille!N:N,Grille!A:A,Grille_HT2!A83,Grille!C:C,Grille_HT2!B83,Grille!J:J,"Majeur")</f>
        <v>0</v>
      </c>
      <c r="F83" s="72">
        <f t="shared" ca="1" si="13"/>
        <v>0</v>
      </c>
      <c r="G83" s="71">
        <f>SUMIFS(Grille!R:R,Grille!A:A,Grille_HT2!A83,Grille!C:C,Grille_HT2!B83,Grille!J:J,"Mineur")</f>
        <v>1</v>
      </c>
      <c r="H83" s="71">
        <f ca="1">SUMIFS(Grille!Q:Q,Grille!A:A,Grille_HT2!A83,Grille!C:C,Grille_HT2!B83,Grille!J:J,"Mineur")</f>
        <v>1</v>
      </c>
      <c r="I83" s="71">
        <f ca="1">SUMIFS(Grille!N:N,Grille!A:A,Grille_HT2!A83,Grille!C:C,Grille_HT2!B83,Grille!J:J,"Mineur")</f>
        <v>0</v>
      </c>
      <c r="J83" s="72">
        <f t="shared" ca="1" si="14"/>
        <v>0</v>
      </c>
      <c r="K83" s="71">
        <v>20</v>
      </c>
      <c r="L83" s="73">
        <f t="shared" ca="1" si="15"/>
        <v>0.21978021978021978</v>
      </c>
      <c r="M83" s="73">
        <f t="shared" ca="1" si="16"/>
        <v>0.2857142857142857</v>
      </c>
      <c r="N83" s="73">
        <f t="shared" ca="1" si="22"/>
        <v>0</v>
      </c>
      <c r="O83" s="73">
        <f t="shared" ca="1" si="17"/>
        <v>0</v>
      </c>
      <c r="P83" s="73">
        <f t="shared" ca="1" si="23"/>
        <v>0</v>
      </c>
      <c r="Q83" s="73">
        <f t="shared" ca="1" si="18"/>
        <v>0</v>
      </c>
      <c r="R83" s="77"/>
      <c r="S83" s="75"/>
      <c r="T83" s="75"/>
      <c r="U83" s="75"/>
      <c r="V83" s="76"/>
      <c r="W83" s="76"/>
      <c r="X83" s="76"/>
      <c r="Y83" s="134">
        <f t="shared" si="19"/>
        <v>65</v>
      </c>
    </row>
    <row r="84" spans="1:25" x14ac:dyDescent="0.3">
      <c r="A84" s="4"/>
      <c r="B84" s="4" t="str">
        <f>A85</f>
        <v>Personnel</v>
      </c>
      <c r="C84" s="5"/>
      <c r="D84" s="5"/>
      <c r="E84" s="5"/>
      <c r="F84" s="5"/>
      <c r="G84" s="9"/>
      <c r="H84" s="9"/>
      <c r="I84" s="9"/>
      <c r="J84" s="6"/>
      <c r="K84" s="5"/>
      <c r="L84" s="5"/>
      <c r="M84" s="5"/>
      <c r="N84" s="6"/>
      <c r="O84" s="6"/>
      <c r="P84" s="6"/>
      <c r="Q84" s="6"/>
      <c r="R84" s="70">
        <v>2.5</v>
      </c>
      <c r="S84" s="7">
        <f t="shared" ca="1" si="20"/>
        <v>2.5000000000000001E-2</v>
      </c>
      <c r="T84" s="7">
        <f ca="1">IFERROR(S84/SUM(S:S),S84)</f>
        <v>3.4722222222222217E-2</v>
      </c>
      <c r="U84" s="7">
        <f ca="1">IFERROR(T84*O85,T84)</f>
        <v>0</v>
      </c>
      <c r="V84" s="7">
        <f t="shared" ca="1" si="21"/>
        <v>2.5000000000000001E-2</v>
      </c>
      <c r="W84" s="7">
        <f ca="1">IFERROR(V84/SUM(V:V),V84)</f>
        <v>3.6764705882352942E-2</v>
      </c>
      <c r="X84" s="7">
        <f ca="1">IFERROR(W84*Q85,W84)</f>
        <v>0</v>
      </c>
    </row>
    <row r="85" spans="1:25" x14ac:dyDescent="0.3">
      <c r="A85" s="64" t="s">
        <v>767</v>
      </c>
      <c r="B85" s="64" t="s">
        <v>768</v>
      </c>
      <c r="C85" s="71">
        <f>SUMIFS(Grille!R:R,Grille!A:A,Grille_HT2!A85,Grille!C:C,Grille_HT2!B85,Grille!J:J,"Majeur")</f>
        <v>46</v>
      </c>
      <c r="D85" s="71">
        <f ca="1">SUMIFS(Grille!Q:Q,Grille!A:A,Grille_HT2!A85,Grille!C:C,Grille_HT2!B85,Grille!J:J,"Majeur")</f>
        <v>46</v>
      </c>
      <c r="E85" s="71">
        <f ca="1">SUMIFS(Grille!N:N,Grille!A:A,Grille_HT2!A85,Grille!C:C,Grille_HT2!B85,Grille!J:J,"Majeur")</f>
        <v>0</v>
      </c>
      <c r="F85" s="72">
        <f t="shared" ca="1" si="13"/>
        <v>0</v>
      </c>
      <c r="G85" s="71">
        <f>SUMIFS(Grille!R:R,Grille!A:A,Grille_HT2!A85,Grille!C:C,Grille_HT2!B85,Grille!J:J,"Mineur")</f>
        <v>4</v>
      </c>
      <c r="H85" s="71">
        <f ca="1">SUMIFS(Grille!Q:Q,Grille!A:A,Grille_HT2!A85,Grille!C:C,Grille_HT2!B85,Grille!J:J,"Mineur")</f>
        <v>4</v>
      </c>
      <c r="I85" s="71">
        <f ca="1">SUMIFS(Grille!N:N,Grille!A:A,Grille_HT2!A85,Grille!C:C,Grille_HT2!B85,Grille!J:J,"Mineur")</f>
        <v>0</v>
      </c>
      <c r="J85" s="72">
        <f t="shared" ca="1" si="14"/>
        <v>0</v>
      </c>
      <c r="K85" s="71">
        <v>60</v>
      </c>
      <c r="L85" s="73">
        <f t="shared" ca="1" si="15"/>
        <v>0.66666666666666663</v>
      </c>
      <c r="M85" s="73">
        <f t="shared" ca="1" si="16"/>
        <v>0.8571428571428571</v>
      </c>
      <c r="N85" s="73">
        <f ca="1">IF(ISNUMBER(F85),F85*L85,F85)</f>
        <v>0</v>
      </c>
      <c r="O85" s="73">
        <f t="shared" ca="1" si="17"/>
        <v>0</v>
      </c>
      <c r="P85" s="73">
        <f ca="1">IF(ISNUMBER(J85),J85*M85,J85)</f>
        <v>0</v>
      </c>
      <c r="Q85" s="73">
        <f t="shared" ca="1" si="18"/>
        <v>0</v>
      </c>
      <c r="R85" s="77"/>
      <c r="S85" s="75"/>
      <c r="T85" s="75"/>
      <c r="U85" s="75"/>
      <c r="V85" s="76"/>
      <c r="W85" s="76"/>
      <c r="X85" s="76"/>
      <c r="Y85" s="134">
        <f>Y83+1</f>
        <v>66</v>
      </c>
    </row>
    <row r="86" spans="1:25" x14ac:dyDescent="0.3">
      <c r="A86" s="64" t="s">
        <v>767</v>
      </c>
      <c r="B86" s="64" t="s">
        <v>770</v>
      </c>
      <c r="C86" s="71">
        <f>SUMIFS(Grille!R:R,Grille!A:A,Grille_HT2!A86,Grille!C:C,Grille_HT2!B86,Grille!J:J,"Majeur")</f>
        <v>20</v>
      </c>
      <c r="D86" s="71">
        <f ca="1">SUMIFS(Grille!Q:Q,Grille!A:A,Grille_HT2!A86,Grille!C:C,Grille_HT2!B86,Grille!J:J,"Majeur")</f>
        <v>20</v>
      </c>
      <c r="E86" s="71">
        <f ca="1">SUMIFS(Grille!N:N,Grille!A:A,Grille_HT2!A86,Grille!C:C,Grille_HT2!B86,Grille!J:J,"Majeur")</f>
        <v>0</v>
      </c>
      <c r="F86" s="72">
        <f t="shared" ca="1" si="13"/>
        <v>0</v>
      </c>
      <c r="G86" s="71">
        <f>SUMIFS(Grille!R:R,Grille!A:A,Grille_HT2!A86,Grille!C:C,Grille_HT2!B86,Grille!J:J,"Mineur")</f>
        <v>0</v>
      </c>
      <c r="H86" s="71">
        <f>SUMIFS(Grille!Q:Q,Grille!A:A,Grille_HT2!A86,Grille!C:C,Grille_HT2!B86,Grille!J:J,"Mineur")</f>
        <v>0</v>
      </c>
      <c r="I86" s="71">
        <f>SUMIFS(Grille!N:N,Grille!A:A,Grille_HT2!A86,Grille!C:C,Grille_HT2!B86,Grille!J:J,"Mineur")</f>
        <v>0</v>
      </c>
      <c r="J86" s="72" t="str">
        <f t="shared" si="14"/>
        <v>Non appliqué</v>
      </c>
      <c r="K86" s="71">
        <v>30</v>
      </c>
      <c r="L86" s="73">
        <f t="shared" ca="1" si="15"/>
        <v>0.33333333333333331</v>
      </c>
      <c r="M86" s="73" t="str">
        <f t="shared" si="16"/>
        <v>Non appliqué</v>
      </c>
      <c r="N86" s="73">
        <f ca="1">IF(ISNUMBER(F86),F86*L86,F86)</f>
        <v>0</v>
      </c>
      <c r="O86" s="73">
        <f t="shared" ca="1" si="17"/>
        <v>0</v>
      </c>
      <c r="P86" s="73" t="str">
        <f>IF(ISNUMBER(J86),J86*M86,J86)</f>
        <v>Non appliqué</v>
      </c>
      <c r="Q86" s="73">
        <f t="shared" ca="1" si="18"/>
        <v>0</v>
      </c>
      <c r="R86" s="77"/>
      <c r="S86" s="75"/>
      <c r="T86" s="75"/>
      <c r="U86" s="75"/>
      <c r="V86" s="76"/>
      <c r="W86" s="76"/>
      <c r="X86" s="76"/>
      <c r="Y86" s="134">
        <f t="shared" si="19"/>
        <v>67</v>
      </c>
    </row>
    <row r="87" spans="1:25" ht="25.2" x14ac:dyDescent="0.3">
      <c r="A87" s="64" t="s">
        <v>767</v>
      </c>
      <c r="B87" s="64" t="s">
        <v>772</v>
      </c>
      <c r="C87" s="71">
        <f>SUMIFS(Grille!R:R,Grille!A:A,Grille_HT2!A87,Grille!C:C,Grille_HT2!B87,Grille!J:J,"Majeur")</f>
        <v>0</v>
      </c>
      <c r="D87" s="71">
        <f>SUMIFS(Grille!Q:Q,Grille!A:A,Grille_HT2!A87,Grille!C:C,Grille_HT2!B87,Grille!J:J,"Majeur")</f>
        <v>0</v>
      </c>
      <c r="E87" s="71">
        <f>SUMIFS(Grille!N:N,Grille!A:A,Grille_HT2!A87,Grille!C:C,Grille_HT2!B87,Grille!J:J,"Majeur")</f>
        <v>0</v>
      </c>
      <c r="F87" s="72" t="str">
        <f t="shared" si="13"/>
        <v>Non appliqué</v>
      </c>
      <c r="G87" s="71">
        <f>SUMIFS(Grille!R:R,Grille!A:A,Grille_HT2!A87,Grille!C:C,Grille_HT2!B87,Grille!J:J,"Mineur")</f>
        <v>3</v>
      </c>
      <c r="H87" s="71">
        <f ca="1">SUMIFS(Grille!Q:Q,Grille!A:A,Grille_HT2!A87,Grille!C:C,Grille_HT2!B87,Grille!J:J,"Mineur")</f>
        <v>3</v>
      </c>
      <c r="I87" s="71">
        <f ca="1">SUMIFS(Grille!N:N,Grille!A:A,Grille_HT2!A87,Grille!C:C,Grille_HT2!B87,Grille!J:J,"Mineur")</f>
        <v>0</v>
      </c>
      <c r="J87" s="72">
        <f t="shared" ca="1" si="14"/>
        <v>0</v>
      </c>
      <c r="K87" s="71">
        <v>10</v>
      </c>
      <c r="L87" s="73" t="str">
        <f t="shared" si="15"/>
        <v>Non appliqué</v>
      </c>
      <c r="M87" s="73">
        <f t="shared" ca="1" si="16"/>
        <v>0.14285714285714285</v>
      </c>
      <c r="N87" s="73" t="str">
        <f>IF(ISNUMBER(F87),F87*L87,F87)</f>
        <v>Non appliqué</v>
      </c>
      <c r="O87" s="73">
        <f t="shared" ca="1" si="17"/>
        <v>0</v>
      </c>
      <c r="P87" s="73">
        <f ca="1">IF(ISNUMBER(J87),J87*M87,J87)</f>
        <v>0</v>
      </c>
      <c r="Q87" s="73">
        <f t="shared" ca="1" si="18"/>
        <v>0</v>
      </c>
      <c r="R87" s="77"/>
      <c r="S87" s="75"/>
      <c r="T87" s="75"/>
      <c r="U87" s="75"/>
      <c r="V87" s="76"/>
      <c r="W87" s="76"/>
      <c r="X87" s="76"/>
      <c r="Y87" s="134">
        <f t="shared" si="19"/>
        <v>68</v>
      </c>
    </row>
    <row r="88" spans="1:25" ht="25.2" x14ac:dyDescent="0.3">
      <c r="A88" s="4"/>
      <c r="B88" s="4" t="str">
        <f>A89</f>
        <v>Electricité, eau et assainissement</v>
      </c>
      <c r="C88" s="5"/>
      <c r="D88" s="5"/>
      <c r="E88" s="5"/>
      <c r="F88" s="5"/>
      <c r="G88" s="9"/>
      <c r="H88" s="9"/>
      <c r="I88" s="9"/>
      <c r="J88" s="6"/>
      <c r="K88" s="5"/>
      <c r="L88" s="5"/>
      <c r="M88" s="5"/>
      <c r="N88" s="6"/>
      <c r="O88" s="6"/>
      <c r="P88" s="6"/>
      <c r="Q88" s="6"/>
      <c r="R88" s="70">
        <v>2.5</v>
      </c>
      <c r="S88" s="7">
        <f t="shared" ca="1" si="20"/>
        <v>2.5000000000000001E-2</v>
      </c>
      <c r="T88" s="7">
        <f ca="1">IFERROR(S88/SUM(S:S),S88)</f>
        <v>3.4722222222222217E-2</v>
      </c>
      <c r="U88" s="7">
        <f ca="1">IFERROR(T88*O89,T88)</f>
        <v>0</v>
      </c>
      <c r="V88" s="7">
        <f t="shared" ca="1" si="21"/>
        <v>2.5000000000000001E-2</v>
      </c>
      <c r="W88" s="7">
        <f ca="1">IFERROR(V88/SUM(V:V),V88)</f>
        <v>3.6764705882352942E-2</v>
      </c>
      <c r="X88" s="7">
        <f ca="1">IFERROR(W88*Q89,W88)</f>
        <v>0</v>
      </c>
    </row>
    <row r="89" spans="1:25" ht="25.2" x14ac:dyDescent="0.3">
      <c r="A89" s="64" t="s">
        <v>773</v>
      </c>
      <c r="B89" s="64" t="s">
        <v>775</v>
      </c>
      <c r="C89" s="71">
        <f>SUMIFS(Grille!R:R,Grille!A:A,Grille_HT2!A89,Grille!C:C,Grille_HT2!B89,Grille!J:J,"Majeur")</f>
        <v>4</v>
      </c>
      <c r="D89" s="71">
        <f ca="1">SUMIFS(Grille!Q:Q,Grille!A:A,Grille_HT2!A89,Grille!C:C,Grille_HT2!B89,Grille!J:J,"Majeur")</f>
        <v>4</v>
      </c>
      <c r="E89" s="71">
        <f ca="1">SUMIFS(Grille!N:N,Grille!A:A,Grille_HT2!A89,Grille!C:C,Grille_HT2!B89,Grille!J:J,"Majeur")</f>
        <v>0</v>
      </c>
      <c r="F89" s="72">
        <f t="shared" ca="1" si="13"/>
        <v>0</v>
      </c>
      <c r="G89" s="71">
        <f>SUMIFS(Grille!R:R,Grille!A:A,Grille_HT2!A89,Grille!C:C,Grille_HT2!B89,Grille!J:J,"Mineur")</f>
        <v>5</v>
      </c>
      <c r="H89" s="71">
        <f ca="1">SUMIFS(Grille!Q:Q,Grille!A:A,Grille_HT2!A89,Grille!C:C,Grille_HT2!B89,Grille!J:J,"Mineur")</f>
        <v>5</v>
      </c>
      <c r="I89" s="71">
        <f ca="1">SUMIFS(Grille!N:N,Grille!A:A,Grille_HT2!A89,Grille!C:C,Grille_HT2!B89,Grille!J:J,"Mineur")</f>
        <v>0</v>
      </c>
      <c r="J89" s="72">
        <f t="shared" ca="1" si="14"/>
        <v>0</v>
      </c>
      <c r="K89" s="71">
        <v>30</v>
      </c>
      <c r="L89" s="73">
        <f t="shared" ca="1" si="15"/>
        <v>0.3</v>
      </c>
      <c r="M89" s="73">
        <f t="shared" ca="1" si="16"/>
        <v>0.3</v>
      </c>
      <c r="N89" s="73">
        <f ca="1">IF(ISNUMBER(F89),F89*L89,F89)</f>
        <v>0</v>
      </c>
      <c r="O89" s="73">
        <f t="shared" ca="1" si="17"/>
        <v>0</v>
      </c>
      <c r="P89" s="73">
        <f ca="1">IF(ISNUMBER(J89),J89*M89,J89)</f>
        <v>0</v>
      </c>
      <c r="Q89" s="73">
        <f t="shared" ca="1" si="18"/>
        <v>0</v>
      </c>
      <c r="R89" s="77"/>
      <c r="S89" s="75"/>
      <c r="T89" s="75"/>
      <c r="U89" s="75"/>
      <c r="V89" s="76"/>
      <c r="W89" s="76"/>
      <c r="X89" s="76"/>
      <c r="Y89" s="134">
        <f>Y87+1</f>
        <v>69</v>
      </c>
    </row>
    <row r="90" spans="1:25" ht="25.2" x14ac:dyDescent="0.3">
      <c r="A90" s="64" t="s">
        <v>773</v>
      </c>
      <c r="B90" s="64" t="s">
        <v>776</v>
      </c>
      <c r="C90" s="71">
        <f>SUMIFS(Grille!R:R,Grille!A:A,Grille_HT2!A90,Grille!C:C,Grille_HT2!B90,Grille!J:J,"Majeur")</f>
        <v>8</v>
      </c>
      <c r="D90" s="71">
        <f ca="1">SUMIFS(Grille!Q:Q,Grille!A:A,Grille_HT2!A90,Grille!C:C,Grille_HT2!B90,Grille!J:J,"Majeur")</f>
        <v>8</v>
      </c>
      <c r="E90" s="71">
        <f ca="1">SUMIFS(Grille!N:N,Grille!A:A,Grille_HT2!A90,Grille!C:C,Grille_HT2!B90,Grille!J:J,"Majeur")</f>
        <v>0</v>
      </c>
      <c r="F90" s="72">
        <f t="shared" ca="1" si="13"/>
        <v>0</v>
      </c>
      <c r="G90" s="71">
        <f>SUMIFS(Grille!R:R,Grille!A:A,Grille_HT2!A90,Grille!C:C,Grille_HT2!B90,Grille!J:J,"Mineur")</f>
        <v>2</v>
      </c>
      <c r="H90" s="71">
        <f ca="1">SUMIFS(Grille!Q:Q,Grille!A:A,Grille_HT2!A90,Grille!C:C,Grille_HT2!B90,Grille!J:J,"Mineur")</f>
        <v>2</v>
      </c>
      <c r="I90" s="71">
        <f ca="1">SUMIFS(Grille!N:N,Grille!A:A,Grille_HT2!A90,Grille!C:C,Grille_HT2!B90,Grille!J:J,"Mineur")</f>
        <v>0</v>
      </c>
      <c r="J90" s="72">
        <f t="shared" ca="1" si="14"/>
        <v>0</v>
      </c>
      <c r="K90" s="71">
        <v>30</v>
      </c>
      <c r="L90" s="73">
        <f t="shared" ca="1" si="15"/>
        <v>0.3</v>
      </c>
      <c r="M90" s="73">
        <f t="shared" ca="1" si="16"/>
        <v>0.3</v>
      </c>
      <c r="N90" s="73">
        <f ca="1">IF(ISNUMBER(F90),F90*L90,F90)</f>
        <v>0</v>
      </c>
      <c r="O90" s="73">
        <f t="shared" ca="1" si="17"/>
        <v>0</v>
      </c>
      <c r="P90" s="73">
        <f ca="1">IF(ISNUMBER(J90),J90*M90,J90)</f>
        <v>0</v>
      </c>
      <c r="Q90" s="73">
        <f t="shared" ca="1" si="18"/>
        <v>0</v>
      </c>
      <c r="R90" s="77"/>
      <c r="S90" s="75"/>
      <c r="T90" s="75"/>
      <c r="U90" s="75"/>
      <c r="V90" s="76"/>
      <c r="W90" s="76"/>
      <c r="X90" s="76"/>
      <c r="Y90" s="134">
        <f t="shared" si="19"/>
        <v>70</v>
      </c>
    </row>
    <row r="91" spans="1:25" ht="25.2" x14ac:dyDescent="0.3">
      <c r="A91" s="64" t="s">
        <v>773</v>
      </c>
      <c r="B91" s="64" t="s">
        <v>777</v>
      </c>
      <c r="C91" s="71">
        <f>SUMIFS(Grille!R:R,Grille!A:A,Grille_HT2!A91,Grille!C:C,Grille_HT2!B91,Grille!J:J,"Majeur")</f>
        <v>6</v>
      </c>
      <c r="D91" s="71">
        <f ca="1">SUMIFS(Grille!Q:Q,Grille!A:A,Grille_HT2!A91,Grille!C:C,Grille_HT2!B91,Grille!J:J,"Majeur")</f>
        <v>6</v>
      </c>
      <c r="E91" s="71">
        <f ca="1">SUMIFS(Grille!N:N,Grille!A:A,Grille_HT2!A91,Grille!C:C,Grille_HT2!B91,Grille!J:J,"Majeur")</f>
        <v>0</v>
      </c>
      <c r="F91" s="72">
        <f t="shared" ca="1" si="13"/>
        <v>0</v>
      </c>
      <c r="G91" s="71">
        <f>SUMIFS(Grille!R:R,Grille!A:A,Grille_HT2!A91,Grille!C:C,Grille_HT2!B91,Grille!J:J,"Mineur")</f>
        <v>1</v>
      </c>
      <c r="H91" s="71">
        <f ca="1">SUMIFS(Grille!Q:Q,Grille!A:A,Grille_HT2!A91,Grille!C:C,Grille_HT2!B91,Grille!J:J,"Mineur")</f>
        <v>1</v>
      </c>
      <c r="I91" s="71">
        <f ca="1">SUMIFS(Grille!N:N,Grille!A:A,Grille_HT2!A91,Grille!C:C,Grille_HT2!B91,Grille!J:J,"Mineur")</f>
        <v>0</v>
      </c>
      <c r="J91" s="72">
        <f t="shared" ca="1" si="14"/>
        <v>0</v>
      </c>
      <c r="K91" s="71">
        <v>40</v>
      </c>
      <c r="L91" s="73">
        <f t="shared" ca="1" si="15"/>
        <v>0.4</v>
      </c>
      <c r="M91" s="73">
        <f t="shared" ca="1" si="16"/>
        <v>0.4</v>
      </c>
      <c r="N91" s="73">
        <f ca="1">IF(ISNUMBER(F91),F91*L91,F91)</f>
        <v>0</v>
      </c>
      <c r="O91" s="73">
        <f t="shared" ca="1" si="17"/>
        <v>0</v>
      </c>
      <c r="P91" s="73">
        <f ca="1">IF(ISNUMBER(J91),J91*M91,J91)</f>
        <v>0</v>
      </c>
      <c r="Q91" s="73">
        <f t="shared" ca="1" si="18"/>
        <v>0</v>
      </c>
      <c r="R91" s="77"/>
      <c r="S91" s="75"/>
      <c r="T91" s="75"/>
      <c r="U91" s="75"/>
      <c r="V91" s="76"/>
      <c r="W91" s="76"/>
      <c r="X91" s="76"/>
      <c r="Y91" s="134">
        <f t="shared" si="19"/>
        <v>71</v>
      </c>
    </row>
    <row r="156" spans="1:1" x14ac:dyDescent="0.3">
      <c r="A156" s="8" t="s">
        <v>654</v>
      </c>
    </row>
    <row r="157" spans="1:1" x14ac:dyDescent="0.3">
      <c r="A157" s="8" t="s">
        <v>657</v>
      </c>
    </row>
    <row r="158" spans="1:1" x14ac:dyDescent="0.3">
      <c r="A158" s="8" t="s">
        <v>658</v>
      </c>
    </row>
    <row r="159" spans="1:1" x14ac:dyDescent="0.3">
      <c r="A159" s="8" t="s">
        <v>661</v>
      </c>
    </row>
    <row r="160" spans="1:1" x14ac:dyDescent="0.3">
      <c r="A160" s="8" t="s">
        <v>662</v>
      </c>
    </row>
    <row r="161" spans="1:1" x14ac:dyDescent="0.3">
      <c r="A161" s="8" t="s">
        <v>664</v>
      </c>
    </row>
    <row r="162" spans="1:1" x14ac:dyDescent="0.3">
      <c r="A162" s="8" t="s">
        <v>667</v>
      </c>
    </row>
    <row r="163" spans="1:1" x14ac:dyDescent="0.3">
      <c r="A163" s="8" t="s">
        <v>668</v>
      </c>
    </row>
    <row r="164" spans="1:1" x14ac:dyDescent="0.3">
      <c r="A164" s="8" t="s">
        <v>671</v>
      </c>
    </row>
    <row r="165" spans="1:1" x14ac:dyDescent="0.3">
      <c r="A165" s="8" t="s">
        <v>673</v>
      </c>
    </row>
    <row r="166" spans="1:1" x14ac:dyDescent="0.3">
      <c r="A166" s="8" t="s">
        <v>675</v>
      </c>
    </row>
    <row r="167" spans="1:1" x14ac:dyDescent="0.3">
      <c r="A167" s="8" t="s">
        <v>677</v>
      </c>
    </row>
    <row r="168" spans="1:1" x14ac:dyDescent="0.3">
      <c r="A168" s="8" t="s">
        <v>678</v>
      </c>
    </row>
    <row r="169" spans="1:1" x14ac:dyDescent="0.3">
      <c r="A169" s="8" t="s">
        <v>682</v>
      </c>
    </row>
    <row r="170" spans="1:1" x14ac:dyDescent="0.3">
      <c r="A170" s="8" t="s">
        <v>685</v>
      </c>
    </row>
    <row r="171" spans="1:1" x14ac:dyDescent="0.3">
      <c r="A171" s="8" t="s">
        <v>701</v>
      </c>
    </row>
    <row r="172" spans="1:1" x14ac:dyDescent="0.3">
      <c r="A172" s="8" t="s">
        <v>702</v>
      </c>
    </row>
    <row r="173" spans="1:1" x14ac:dyDescent="0.3">
      <c r="A173" s="8" t="s">
        <v>703</v>
      </c>
    </row>
    <row r="174" spans="1:1" x14ac:dyDescent="0.3">
      <c r="A174" s="8" t="s">
        <v>706</v>
      </c>
    </row>
    <row r="175" spans="1:1" x14ac:dyDescent="0.3">
      <c r="A175" s="8" t="s">
        <v>707</v>
      </c>
    </row>
    <row r="176" spans="1:1" x14ac:dyDescent="0.3">
      <c r="A176" s="8" t="s">
        <v>709</v>
      </c>
    </row>
    <row r="177" spans="1:1" x14ac:dyDescent="0.3">
      <c r="A177" s="8" t="s">
        <v>710</v>
      </c>
    </row>
    <row r="178" spans="1:1" x14ac:dyDescent="0.3">
      <c r="A178" s="8" t="s">
        <v>712</v>
      </c>
    </row>
    <row r="179" spans="1:1" x14ac:dyDescent="0.3">
      <c r="A179" s="8" t="s">
        <v>715</v>
      </c>
    </row>
    <row r="180" spans="1:1" x14ac:dyDescent="0.3">
      <c r="A180" s="8" t="s">
        <v>717</v>
      </c>
    </row>
    <row r="181" spans="1:1" x14ac:dyDescent="0.3">
      <c r="A181" s="8" t="s">
        <v>718</v>
      </c>
    </row>
    <row r="182" spans="1:1" x14ac:dyDescent="0.3">
      <c r="A182" s="8" t="s">
        <v>720</v>
      </c>
    </row>
    <row r="183" spans="1:1" x14ac:dyDescent="0.3">
      <c r="A183" s="8" t="s">
        <v>722</v>
      </c>
    </row>
    <row r="184" spans="1:1" x14ac:dyDescent="0.3">
      <c r="A184" s="8" t="s">
        <v>724</v>
      </c>
    </row>
    <row r="185" spans="1:1" x14ac:dyDescent="0.3">
      <c r="A185" s="8" t="s">
        <v>725</v>
      </c>
    </row>
    <row r="186" spans="1:1" x14ac:dyDescent="0.3">
      <c r="A186" s="8" t="s">
        <v>729</v>
      </c>
    </row>
    <row r="187" spans="1:1" x14ac:dyDescent="0.3">
      <c r="A187" s="8" t="s">
        <v>733</v>
      </c>
    </row>
    <row r="188" spans="1:1" x14ac:dyDescent="0.3">
      <c r="A188" s="8" t="s">
        <v>734</v>
      </c>
    </row>
    <row r="189" spans="1:1" x14ac:dyDescent="0.3">
      <c r="A189" s="8" t="s">
        <v>735</v>
      </c>
    </row>
    <row r="190" spans="1:1" x14ac:dyDescent="0.3">
      <c r="A190" s="8" t="s">
        <v>736</v>
      </c>
    </row>
    <row r="191" spans="1:1" x14ac:dyDescent="0.3">
      <c r="A191" s="8" t="s">
        <v>737</v>
      </c>
    </row>
    <row r="192" spans="1:1" x14ac:dyDescent="0.3">
      <c r="A192" s="8" t="s">
        <v>738</v>
      </c>
    </row>
    <row r="193" spans="1:1" x14ac:dyDescent="0.3">
      <c r="A193" s="8" t="s">
        <v>742</v>
      </c>
    </row>
    <row r="194" spans="1:1" x14ac:dyDescent="0.3">
      <c r="A194" s="8" t="s">
        <v>743</v>
      </c>
    </row>
    <row r="195" spans="1:1" x14ac:dyDescent="0.3">
      <c r="A195" s="8" t="s">
        <v>746</v>
      </c>
    </row>
    <row r="196" spans="1:1" x14ac:dyDescent="0.3">
      <c r="A196" s="8" t="s">
        <v>747</v>
      </c>
    </row>
    <row r="197" spans="1:1" x14ac:dyDescent="0.3">
      <c r="A197" s="8" t="s">
        <v>748</v>
      </c>
    </row>
    <row r="198" spans="1:1" x14ac:dyDescent="0.3">
      <c r="A198" s="8" t="s">
        <v>751</v>
      </c>
    </row>
    <row r="199" spans="1:1" x14ac:dyDescent="0.3">
      <c r="A199" s="8" t="s">
        <v>752</v>
      </c>
    </row>
    <row r="200" spans="1:1" x14ac:dyDescent="0.3">
      <c r="A200" s="8" t="s">
        <v>753</v>
      </c>
    </row>
    <row r="201" spans="1:1" x14ac:dyDescent="0.3">
      <c r="A201" s="8" t="s">
        <v>755</v>
      </c>
    </row>
    <row r="202" spans="1:1" x14ac:dyDescent="0.3">
      <c r="A202" s="8" t="s">
        <v>756</v>
      </c>
    </row>
    <row r="203" spans="1:1" x14ac:dyDescent="0.3">
      <c r="A203" s="8" t="s">
        <v>759</v>
      </c>
    </row>
    <row r="204" spans="1:1" x14ac:dyDescent="0.3">
      <c r="A204" s="8" t="s">
        <v>761</v>
      </c>
    </row>
    <row r="205" spans="1:1" x14ac:dyDescent="0.3">
      <c r="A205" s="8" t="s">
        <v>762</v>
      </c>
    </row>
    <row r="206" spans="1:1" x14ac:dyDescent="0.3">
      <c r="A206" s="8" t="s">
        <v>763</v>
      </c>
    </row>
    <row r="207" spans="1:1" x14ac:dyDescent="0.3">
      <c r="A207" s="8" t="s">
        <v>765</v>
      </c>
    </row>
    <row r="208" spans="1:1" x14ac:dyDescent="0.3">
      <c r="A208" s="8" t="s">
        <v>766</v>
      </c>
    </row>
    <row r="209" spans="1:1" x14ac:dyDescent="0.3">
      <c r="A209" s="8" t="s">
        <v>768</v>
      </c>
    </row>
    <row r="210" spans="1:1" x14ac:dyDescent="0.3">
      <c r="A210" s="8" t="s">
        <v>770</v>
      </c>
    </row>
    <row r="211" spans="1:1" x14ac:dyDescent="0.3">
      <c r="A211" s="8" t="s">
        <v>772</v>
      </c>
    </row>
    <row r="212" spans="1:1" x14ac:dyDescent="0.3">
      <c r="A212" s="8" t="s">
        <v>775</v>
      </c>
    </row>
    <row r="213" spans="1:1" x14ac:dyDescent="0.3">
      <c r="A213" s="8" t="s">
        <v>776</v>
      </c>
    </row>
    <row r="214" spans="1:1" x14ac:dyDescent="0.3">
      <c r="A214" s="8" t="s">
        <v>777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02E3-22A7-4223-9A10-53E72E64B2EC}">
  <sheetPr codeName="Feuil42"/>
  <dimension ref="A1:Y214"/>
  <sheetViews>
    <sheetView showGridLines="0" zoomScale="104" zoomScaleNormal="40" workbookViewId="0">
      <selection activeCell="F5" sqref="F5"/>
    </sheetView>
  </sheetViews>
  <sheetFormatPr baseColWidth="10" defaultColWidth="11.6640625" defaultRowHeight="12.6" x14ac:dyDescent="0.3"/>
  <cols>
    <col min="1" max="2" width="31.109375" style="8" customWidth="1"/>
    <col min="3" max="3" width="14.77734375" style="10" customWidth="1"/>
    <col min="4" max="5" width="11.6640625" style="10" customWidth="1"/>
    <col min="6" max="6" width="14.109375" style="11" bestFit="1" customWidth="1"/>
    <col min="7" max="9" width="11.6640625" style="10" customWidth="1"/>
    <col min="10" max="10" width="14.109375" style="10" bestFit="1" customWidth="1"/>
    <col min="11" max="11" width="15.109375" style="10" customWidth="1"/>
    <col min="12" max="12" width="20" style="10" customWidth="1"/>
    <col min="13" max="13" width="14.109375" style="8" bestFit="1" customWidth="1"/>
    <col min="14" max="15" width="12.6640625" style="12" bestFit="1" customWidth="1"/>
    <col min="16" max="17" width="14.109375" style="12" bestFit="1" customWidth="1"/>
    <col min="18" max="18" width="11.109375" style="13" customWidth="1"/>
    <col min="19" max="21" width="14.77734375" style="14" bestFit="1" customWidth="1"/>
    <col min="22" max="23" width="14.77734375" style="78" bestFit="1" customWidth="1"/>
    <col min="24" max="24" width="12.77734375" style="78" bestFit="1" customWidth="1"/>
    <col min="25" max="25" width="11.6640625" style="134"/>
    <col min="26" max="16384" width="11.6640625" style="8"/>
  </cols>
  <sheetData>
    <row r="1" spans="1:25" s="69" customFormat="1" ht="50.4" x14ac:dyDescent="0.3">
      <c r="A1" s="64" t="s">
        <v>778</v>
      </c>
      <c r="B1" s="64" t="s">
        <v>779</v>
      </c>
      <c r="C1" s="65" t="s">
        <v>780</v>
      </c>
      <c r="D1" s="65" t="s">
        <v>781</v>
      </c>
      <c r="E1" s="65" t="s">
        <v>782</v>
      </c>
      <c r="F1" s="66" t="s">
        <v>783</v>
      </c>
      <c r="G1" s="65" t="s">
        <v>784</v>
      </c>
      <c r="H1" s="65" t="s">
        <v>785</v>
      </c>
      <c r="I1" s="65" t="s">
        <v>782</v>
      </c>
      <c r="J1" s="65" t="s">
        <v>786</v>
      </c>
      <c r="K1" s="65" t="s">
        <v>787</v>
      </c>
      <c r="L1" s="65" t="s">
        <v>788</v>
      </c>
      <c r="M1" s="65" t="s">
        <v>789</v>
      </c>
      <c r="N1" s="66" t="s">
        <v>790</v>
      </c>
      <c r="O1" s="66" t="s">
        <v>791</v>
      </c>
      <c r="P1" s="66" t="s">
        <v>792</v>
      </c>
      <c r="Q1" s="66" t="s">
        <v>793</v>
      </c>
      <c r="R1" s="67" t="s">
        <v>794</v>
      </c>
      <c r="S1" s="68" t="s">
        <v>795</v>
      </c>
      <c r="T1" s="68" t="s">
        <v>796</v>
      </c>
      <c r="U1" s="68" t="s">
        <v>797</v>
      </c>
      <c r="V1" s="68" t="s">
        <v>798</v>
      </c>
      <c r="W1" s="68" t="s">
        <v>799</v>
      </c>
      <c r="X1" s="68" t="s">
        <v>800</v>
      </c>
      <c r="Y1" s="135"/>
    </row>
    <row r="2" spans="1:25" s="69" customFormat="1" ht="25.2" x14ac:dyDescent="0.3">
      <c r="A2" s="4"/>
      <c r="B2" s="4" t="s">
        <v>646</v>
      </c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6"/>
      <c r="O2" s="6"/>
      <c r="P2" s="6"/>
      <c r="Q2" s="6"/>
      <c r="R2" s="70">
        <v>1</v>
      </c>
      <c r="S2" s="7" t="str">
        <f>IF(SUMIF($A:$A,$A3,O:O)&gt;0,R2/SUM($R:$R),O3)</f>
        <v>Non appliqué</v>
      </c>
      <c r="T2" s="7" t="str">
        <f ca="1">IFERROR(S2/SUM(S:S),S2)</f>
        <v>Non appliqué</v>
      </c>
      <c r="U2" s="7" t="str">
        <f ca="1">IFERROR(O3*T2,O3)</f>
        <v>Non appliqué</v>
      </c>
      <c r="V2" s="7">
        <f ca="1">IF(SUMIF($A:$A,$A3,Q:Q)&gt;0,R2/SUM(R:R),Q3)</f>
        <v>0</v>
      </c>
      <c r="W2" s="7">
        <f ca="1">IFERROR(V2/SUM(V:V),V2)</f>
        <v>0</v>
      </c>
      <c r="X2" s="7">
        <f ca="1">IFERROR(W2*Q3,W2)</f>
        <v>0</v>
      </c>
      <c r="Y2" s="135"/>
    </row>
    <row r="3" spans="1:25" x14ac:dyDescent="0.3">
      <c r="A3" s="64" t="s">
        <v>646</v>
      </c>
      <c r="B3" s="64" t="s">
        <v>648</v>
      </c>
      <c r="C3" s="71">
        <f>SUMIFS(Grille!R:R,Grille!A:A,Grille_HT1!A3,Grille!C:C,Grille_HT1!B3,Grille!K:K,"Majeur")</f>
        <v>0</v>
      </c>
      <c r="D3" s="71">
        <f>SUMIFS(Grille!Q:Q,Grille!A:A,Grille_HT1!A3,Grille!C:C,Grille_HT1!B3,Grille!K:K,"Majeur")</f>
        <v>0</v>
      </c>
      <c r="E3" s="71">
        <f>SUMIFS(Grille!N:N,Grille!A:A,Grille_HT1!A3,Grille!C:C,Grille_HT1!B3,Grille!K:K,"Majeur")</f>
        <v>0</v>
      </c>
      <c r="F3" s="72" t="str">
        <f>IF(C3=0,"Non appliqué",IF(D3=0,"Non concerné",E3/D3))</f>
        <v>Non appliqué</v>
      </c>
      <c r="G3" s="71">
        <f>SUMIFS(Grille!R:R,Grille!A:A,Grille_HT1!A3,Grille!C:C,Grille_HT1!B3,Grille!K:K,"Mineur")</f>
        <v>0</v>
      </c>
      <c r="H3" s="71">
        <f>SUMIFS(Grille!Q:Q,Grille!A:A,Grille_HT1!A3,Grille!C:C,Grille_HT1!B3,Grille!K:K,"Mineur")</f>
        <v>0</v>
      </c>
      <c r="I3" s="71">
        <f>SUMIFS(Grille!N:N,Grille!A:A,Grille_HT1!A3,Grille!C:C,Grille_HT1!B3,Grille!K:K,"Mineur")</f>
        <v>0</v>
      </c>
      <c r="J3" s="72" t="str">
        <f>IF(G3=0,"Non appliqué",IF(H3=0,"Non concerné",I3/H3))</f>
        <v>Non appliqué</v>
      </c>
      <c r="K3" s="71">
        <v>40</v>
      </c>
      <c r="L3" s="73" t="str">
        <f>IF(D3&gt;0,K3/SUMIFS(K:K,A:A,A3,D:D,"&gt;0"),F3)</f>
        <v>Non appliqué</v>
      </c>
      <c r="M3" s="73" t="str">
        <f>IF(H3&gt;0,K3/SUMIFS(K:K,A:A,A3,H:H,"&gt;0"),J3)</f>
        <v>Non appliqué</v>
      </c>
      <c r="N3" s="73" t="str">
        <f>IF(ISNUMBER(F3),F3*L3,F3)</f>
        <v>Non appliqué</v>
      </c>
      <c r="O3" s="73" t="str">
        <f>IF(SUMIFS(C:C,A:A,A3)=0,"Non appliqué",IF(SUMIFS(D:D,A:A,A3)&gt;=0,SUMIFS(N:N,A:A,A3),"Non concerné"))</f>
        <v>Non appliqué</v>
      </c>
      <c r="P3" s="73" t="str">
        <f>IF(ISNUMBER(J3),J3*M3,J3)</f>
        <v>Non appliqué</v>
      </c>
      <c r="Q3" s="73">
        <f ca="1">IF(SUMIFS(G:G,A:A,A3)=0,"Non appliqué",IF(SUMIFS(H:H,A:A,A3)&gt;=0,SUMIFS(P:P,A:A,A3),"Non concerné"))</f>
        <v>0</v>
      </c>
      <c r="R3" s="74"/>
      <c r="S3" s="75"/>
      <c r="T3" s="75"/>
      <c r="U3" s="75"/>
      <c r="V3" s="76"/>
      <c r="W3" s="76"/>
      <c r="X3" s="76"/>
      <c r="Y3" s="134">
        <v>1</v>
      </c>
    </row>
    <row r="4" spans="1:25" x14ac:dyDescent="0.3">
      <c r="A4" s="64" t="s">
        <v>646</v>
      </c>
      <c r="B4" s="64" t="s">
        <v>652</v>
      </c>
      <c r="C4" s="71">
        <f>SUMIFS(Grille!R:R,Grille!A:A,Grille_HT1!A4,Grille!C:C,Grille_HT1!B4,Grille!K:K,"Majeur")</f>
        <v>0</v>
      </c>
      <c r="D4" s="71">
        <f>SUMIFS(Grille!Q:Q,Grille!A:A,Grille_HT1!A4,Grille!C:C,Grille_HT1!B4,Grille!K:K,"Majeur")</f>
        <v>0</v>
      </c>
      <c r="E4" s="71">
        <f>SUMIFS(Grille!N:N,Grille!A:A,Grille_HT1!A4,Grille!C:C,Grille_HT1!B4,Grille!K:K,"Majeur")</f>
        <v>0</v>
      </c>
      <c r="F4" s="72" t="str">
        <f t="shared" ref="F4:F67" si="0">IF(C4=0,"Non appliqué",IF(D4=0,"Non concerné",E4/D4))</f>
        <v>Non appliqué</v>
      </c>
      <c r="G4" s="71">
        <f>SUMIFS(Grille!R:R,Grille!A:A,Grille_HT1!A4,Grille!C:C,Grille_HT1!B4,Grille!K:K,"Mineur")</f>
        <v>2</v>
      </c>
      <c r="H4" s="71">
        <f ca="1">SUMIFS(Grille!Q:Q,Grille!A:A,Grille_HT1!A4,Grille!C:C,Grille_HT1!B4,Grille!K:K,"Mineur")</f>
        <v>2</v>
      </c>
      <c r="I4" s="71">
        <f ca="1">SUMIFS(Grille!N:N,Grille!A:A,Grille_HT1!A4,Grille!C:C,Grille_HT1!B4,Grille!K:K,"Mineur")</f>
        <v>0</v>
      </c>
      <c r="J4" s="72">
        <f t="shared" ref="J4:J67" ca="1" si="1">IF(G4=0,"Non appliqué",IF(H4=0,"Non concerné",I4/H4))</f>
        <v>0</v>
      </c>
      <c r="K4" s="71">
        <v>60</v>
      </c>
      <c r="L4" s="73" t="str">
        <f t="shared" ref="L4:L67" si="2">IF(D4&gt;0,K4/SUMIFS(K:K,A:A,A4,D:D,"&gt;0"),F4)</f>
        <v>Non appliqué</v>
      </c>
      <c r="M4" s="73">
        <f t="shared" ref="M4:M67" ca="1" si="3">IF(H4&gt;0,K4/SUMIFS(K:K,A:A,A4,H:H,"&gt;0"),J4)</f>
        <v>1</v>
      </c>
      <c r="N4" s="73" t="str">
        <f>IF(ISNUMBER(F4),F4*L4,F4)</f>
        <v>Non appliqué</v>
      </c>
      <c r="O4" s="73" t="str">
        <f t="shared" ref="O4:O67" si="4">IF(SUMIFS(C:C,A:A,A4)=0,"Non appliqué",IF(SUMIFS(D:D,A:A,A4)&gt;=0,SUMIFS(N:N,A:A,A4),"Non concerné"))</f>
        <v>Non appliqué</v>
      </c>
      <c r="P4" s="73">
        <f ca="1">IF(ISNUMBER(J4),J4*M4,J4)</f>
        <v>0</v>
      </c>
      <c r="Q4" s="73">
        <f t="shared" ref="Q4:Q67" ca="1" si="5">IF(SUMIFS(G:G,A:A,A4)=0,"Non appliqué",IF(SUMIFS(H:H,A:A,A4)&gt;=0,SUMIFS(P:P,A:A,A4),"Non concerné"))</f>
        <v>0</v>
      </c>
      <c r="R4" s="77"/>
      <c r="S4" s="75"/>
      <c r="T4" s="75"/>
      <c r="U4" s="75" t="str">
        <f>IF(O5&gt;0,T4*O5,"")</f>
        <v/>
      </c>
      <c r="V4" s="76"/>
      <c r="W4" s="76"/>
      <c r="X4" s="76"/>
      <c r="Y4" s="134">
        <f>Y3+1</f>
        <v>2</v>
      </c>
    </row>
    <row r="5" spans="1:25" s="69" customFormat="1" ht="25.2" x14ac:dyDescent="0.3">
      <c r="A5" s="4"/>
      <c r="B5" s="4" t="s">
        <v>653</v>
      </c>
      <c r="C5" s="5"/>
      <c r="D5" s="5"/>
      <c r="E5" s="5"/>
      <c r="F5" s="5"/>
      <c r="G5" s="9"/>
      <c r="H5" s="9"/>
      <c r="I5" s="9"/>
      <c r="J5" s="6"/>
      <c r="K5" s="5"/>
      <c r="L5" s="5"/>
      <c r="M5" s="5"/>
      <c r="N5" s="6"/>
      <c r="O5" s="6"/>
      <c r="P5" s="6"/>
      <c r="Q5" s="6"/>
      <c r="R5" s="70">
        <v>4</v>
      </c>
      <c r="S5" s="7">
        <f t="shared" ref="S5:S63" ca="1" si="6">IF(SUMIF($A:$A,$A6,D:D)&gt;0,R5/SUM($R:$R),O6)</f>
        <v>0.04</v>
      </c>
      <c r="T5" s="7">
        <f ca="1">IFERROR(S5/SUM(S:S),S5)</f>
        <v>7.0175438596491224E-2</v>
      </c>
      <c r="U5" s="7">
        <f ca="1">IFERROR(T5*O6,T5)</f>
        <v>0</v>
      </c>
      <c r="V5" s="7" t="str">
        <f t="shared" ref="V5:V63" si="7">IF(SUMIF($A:$A,$A6,H:H)&gt;0,R5/SUM(R:R),Q6)</f>
        <v>Non appliqué</v>
      </c>
      <c r="W5" s="7" t="str">
        <f ca="1">IFERROR(V5/SUM(V:V),V5)</f>
        <v>Non appliqué</v>
      </c>
      <c r="X5" s="7" t="str">
        <f ca="1">IFERROR(W5*Q6,W5)</f>
        <v>Non appliqué</v>
      </c>
      <c r="Y5" s="134"/>
    </row>
    <row r="6" spans="1:25" x14ac:dyDescent="0.3">
      <c r="A6" s="64" t="s">
        <v>653</v>
      </c>
      <c r="B6" s="64" t="s">
        <v>654</v>
      </c>
      <c r="C6" s="71">
        <f>SUMIFS(Grille!R:R,Grille!A:A,Grille_HT1!A6,Grille!C:C,Grille_HT1!B6,Grille!K:K,"Majeur")</f>
        <v>0</v>
      </c>
      <c r="D6" s="71">
        <f>SUMIFS(Grille!Q:Q,Grille!A:A,Grille_HT1!A6,Grille!C:C,Grille_HT1!B6,Grille!K:K,"Majeur")</f>
        <v>0</v>
      </c>
      <c r="E6" s="71">
        <f>SUMIFS(Grille!N:N,Grille!A:A,Grille_HT1!A6,Grille!C:C,Grille_HT1!B6,Grille!K:K,"Majeur")</f>
        <v>0</v>
      </c>
      <c r="F6" s="72" t="str">
        <f t="shared" si="0"/>
        <v>Non appliqué</v>
      </c>
      <c r="G6" s="71">
        <f>SUMIFS(Grille!R:R,Grille!A:A,Grille_HT1!A6,Grille!C:C,Grille_HT1!B6,Grille!K:K,"Mineur")</f>
        <v>0</v>
      </c>
      <c r="H6" s="71">
        <f>SUMIFS(Grille!Q:Q,Grille!A:A,Grille_HT1!A6,Grille!C:C,Grille_HT1!B6,Grille!K:K,"Mineur")</f>
        <v>0</v>
      </c>
      <c r="I6" s="71">
        <f>SUMIFS(Grille!N:N,Grille!A:A,Grille_HT1!A6,Grille!C:C,Grille_HT1!B6,Grille!K:K,"Mineur")</f>
        <v>0</v>
      </c>
      <c r="J6" s="72" t="str">
        <f t="shared" si="1"/>
        <v>Non appliqué</v>
      </c>
      <c r="K6" s="71">
        <v>40</v>
      </c>
      <c r="L6" s="73" t="str">
        <f t="shared" si="2"/>
        <v>Non appliqué</v>
      </c>
      <c r="M6" s="73" t="str">
        <f t="shared" si="3"/>
        <v>Non appliqué</v>
      </c>
      <c r="N6" s="73" t="str">
        <f>IF(ISNUMBER(F6),F6*L6,F6)</f>
        <v>Non appliqué</v>
      </c>
      <c r="O6" s="73">
        <f t="shared" ca="1" si="4"/>
        <v>0</v>
      </c>
      <c r="P6" s="73" t="str">
        <f>IF(ISNUMBER(J6),J6*M6,J6)</f>
        <v>Non appliqué</v>
      </c>
      <c r="Q6" s="73" t="str">
        <f t="shared" si="5"/>
        <v>Non appliqué</v>
      </c>
      <c r="R6" s="77"/>
      <c r="S6" s="75"/>
      <c r="T6" s="75"/>
      <c r="U6" s="75"/>
      <c r="V6" s="76"/>
      <c r="W6" s="76"/>
      <c r="X6" s="76"/>
      <c r="Y6" s="134">
        <v>3</v>
      </c>
    </row>
    <row r="7" spans="1:25" x14ac:dyDescent="0.3">
      <c r="A7" s="64" t="s">
        <v>653</v>
      </c>
      <c r="B7" s="64" t="s">
        <v>657</v>
      </c>
      <c r="C7" s="71">
        <f>SUMIFS(Grille!R:R,Grille!A:A,Grille_HT1!A7,Grille!C:C,Grille_HT1!B7,Grille!K:K,"Majeur")</f>
        <v>0</v>
      </c>
      <c r="D7" s="71">
        <f>SUMIFS(Grille!Q:Q,Grille!A:A,Grille_HT1!A7,Grille!C:C,Grille_HT1!B7,Grille!K:K,"Majeur")</f>
        <v>0</v>
      </c>
      <c r="E7" s="71">
        <f>SUMIFS(Grille!N:N,Grille!A:A,Grille_HT1!A7,Grille!C:C,Grille_HT1!B7,Grille!K:K,"Majeur")</f>
        <v>0</v>
      </c>
      <c r="F7" s="72" t="str">
        <f t="shared" si="0"/>
        <v>Non appliqué</v>
      </c>
      <c r="G7" s="71">
        <f>SUMIFS(Grille!R:R,Grille!A:A,Grille_HT1!A7,Grille!C:C,Grille_HT1!B7,Grille!K:K,"Mineur")</f>
        <v>0</v>
      </c>
      <c r="H7" s="71">
        <f>SUMIFS(Grille!Q:Q,Grille!A:A,Grille_HT1!A7,Grille!C:C,Grille_HT1!B7,Grille!K:K,"Mineur")</f>
        <v>0</v>
      </c>
      <c r="I7" s="71">
        <f>SUMIFS(Grille!N:N,Grille!A:A,Grille_HT1!A7,Grille!C:C,Grille_HT1!B7,Grille!K:K,"Mineur")</f>
        <v>0</v>
      </c>
      <c r="J7" s="72" t="str">
        <f t="shared" si="1"/>
        <v>Non appliqué</v>
      </c>
      <c r="K7" s="71">
        <v>20</v>
      </c>
      <c r="L7" s="73" t="str">
        <f t="shared" si="2"/>
        <v>Non appliqué</v>
      </c>
      <c r="M7" s="73" t="str">
        <f t="shared" si="3"/>
        <v>Non appliqué</v>
      </c>
      <c r="N7" s="73" t="str">
        <f>IF(ISNUMBER(F7),F7*L7,F7)</f>
        <v>Non appliqué</v>
      </c>
      <c r="O7" s="73">
        <f t="shared" ca="1" si="4"/>
        <v>0</v>
      </c>
      <c r="P7" s="73" t="str">
        <f>IF(ISNUMBER(J7),J7*M7,J7)</f>
        <v>Non appliqué</v>
      </c>
      <c r="Q7" s="73" t="str">
        <f t="shared" si="5"/>
        <v>Non appliqué</v>
      </c>
      <c r="R7" s="77"/>
      <c r="S7" s="75"/>
      <c r="T7" s="75"/>
      <c r="U7" s="75"/>
      <c r="V7" s="76"/>
      <c r="W7" s="76"/>
      <c r="X7" s="76"/>
      <c r="Y7" s="134">
        <f t="shared" ref="Y7:Y70" si="8">Y6+1</f>
        <v>4</v>
      </c>
    </row>
    <row r="8" spans="1:25" x14ac:dyDescent="0.3">
      <c r="A8" s="64" t="s">
        <v>653</v>
      </c>
      <c r="B8" s="64" t="s">
        <v>658</v>
      </c>
      <c r="C8" s="71">
        <f>SUMIFS(Grille!R:R,Grille!A:A,Grille_HT1!A8,Grille!C:C,Grille_HT1!B8,Grille!K:K,"Majeur")</f>
        <v>15</v>
      </c>
      <c r="D8" s="71">
        <f ca="1">SUMIFS(Grille!Q:Q,Grille!A:A,Grille_HT1!A8,Grille!C:C,Grille_HT1!B8,Grille!K:K,"Majeur")</f>
        <v>15</v>
      </c>
      <c r="E8" s="71">
        <f ca="1">SUMIFS(Grille!N:N,Grille!A:A,Grille_HT1!A8,Grille!C:C,Grille_HT1!B8,Grille!K:K,"Majeur")</f>
        <v>0</v>
      </c>
      <c r="F8" s="72">
        <f t="shared" ca="1" si="0"/>
        <v>0</v>
      </c>
      <c r="G8" s="71">
        <f>SUMIFS(Grille!R:R,Grille!A:A,Grille_HT1!A8,Grille!C:C,Grille_HT1!B8,Grille!K:K,"Mineur")</f>
        <v>0</v>
      </c>
      <c r="H8" s="71">
        <f>SUMIFS(Grille!Q:Q,Grille!A:A,Grille_HT1!A8,Grille!C:C,Grille_HT1!B8,Grille!K:K,"Mineur")</f>
        <v>0</v>
      </c>
      <c r="I8" s="71">
        <f>SUMIFS(Grille!N:N,Grille!A:A,Grille_HT1!A8,Grille!C:C,Grille_HT1!B8,Grille!K:K,"Mineur")</f>
        <v>0</v>
      </c>
      <c r="J8" s="72" t="str">
        <f t="shared" si="1"/>
        <v>Non appliqué</v>
      </c>
      <c r="K8" s="71">
        <v>40</v>
      </c>
      <c r="L8" s="73">
        <f t="shared" ca="1" si="2"/>
        <v>1</v>
      </c>
      <c r="M8" s="73" t="str">
        <f t="shared" si="3"/>
        <v>Non appliqué</v>
      </c>
      <c r="N8" s="73">
        <f ca="1">IF(ISNUMBER(F8),F8*L8,F8)</f>
        <v>0</v>
      </c>
      <c r="O8" s="73">
        <f t="shared" ca="1" si="4"/>
        <v>0</v>
      </c>
      <c r="P8" s="73" t="str">
        <f>IF(ISNUMBER(J8),J8*M8,J8)</f>
        <v>Non appliqué</v>
      </c>
      <c r="Q8" s="73" t="str">
        <f t="shared" si="5"/>
        <v>Non appliqué</v>
      </c>
      <c r="R8" s="77"/>
      <c r="S8" s="75"/>
      <c r="T8" s="75"/>
      <c r="U8" s="75"/>
      <c r="V8" s="76"/>
      <c r="W8" s="76"/>
      <c r="X8" s="76"/>
      <c r="Y8" s="134">
        <f t="shared" si="8"/>
        <v>5</v>
      </c>
    </row>
    <row r="9" spans="1:25" x14ac:dyDescent="0.3">
      <c r="A9" s="4"/>
      <c r="B9" s="4" t="str">
        <f>A10</f>
        <v>Accueil et réception</v>
      </c>
      <c r="C9" s="5"/>
      <c r="D9" s="5"/>
      <c r="E9" s="5"/>
      <c r="F9" s="5"/>
      <c r="G9" s="9"/>
      <c r="H9" s="9"/>
      <c r="I9" s="9"/>
      <c r="J9" s="6"/>
      <c r="K9" s="5"/>
      <c r="L9" s="5"/>
      <c r="M9" s="5"/>
      <c r="N9" s="6"/>
      <c r="O9" s="6"/>
      <c r="P9" s="6"/>
      <c r="Q9" s="6"/>
      <c r="R9" s="70">
        <v>8</v>
      </c>
      <c r="S9" s="7">
        <f t="shared" ca="1" si="6"/>
        <v>0.08</v>
      </c>
      <c r="T9" s="7">
        <f ca="1">IFERROR(S9/SUM(S:S),S9)</f>
        <v>0.14035087719298245</v>
      </c>
      <c r="U9" s="7">
        <f ca="1">IFERROR(T9*O10,T9)</f>
        <v>0</v>
      </c>
      <c r="V9" s="7">
        <f t="shared" ca="1" si="7"/>
        <v>0.08</v>
      </c>
      <c r="W9" s="7">
        <f ca="1">IFERROR(V9/SUM(V:V),V9)</f>
        <v>0.13223140495867766</v>
      </c>
      <c r="X9" s="7">
        <f ca="1">IFERROR(W9*Q10,W9)</f>
        <v>0</v>
      </c>
    </row>
    <row r="10" spans="1:25" x14ac:dyDescent="0.3">
      <c r="A10" s="65" t="s">
        <v>659</v>
      </c>
      <c r="B10" s="65" t="s">
        <v>661</v>
      </c>
      <c r="C10" s="71">
        <f>SUMIFS(Grille!R:R,Grille!A:A,Grille_HT1!A10,Grille!C:C,Grille_HT1!B10,Grille!K:K,"Majeur")</f>
        <v>2</v>
      </c>
      <c r="D10" s="71">
        <f ca="1">SUMIFS(Grille!Q:Q,Grille!A:A,Grille_HT1!A10,Grille!C:C,Grille_HT1!B10,Grille!K:K,"Majeur")</f>
        <v>2</v>
      </c>
      <c r="E10" s="71">
        <f ca="1">SUMIFS(Grille!N:N,Grille!A:A,Grille_HT1!A10,Grille!C:C,Grille_HT1!B10,Grille!K:K,"Majeur")</f>
        <v>0</v>
      </c>
      <c r="F10" s="72">
        <f t="shared" ca="1" si="0"/>
        <v>0</v>
      </c>
      <c r="G10" s="71">
        <f>SUMIFS(Grille!R:R,Grille!A:A,Grille_HT1!A10,Grille!C:C,Grille_HT1!B10,Grille!K:K,"Mineur")</f>
        <v>0</v>
      </c>
      <c r="H10" s="71">
        <f>SUMIFS(Grille!Q:Q,Grille!A:A,Grille_HT1!A10,Grille!C:C,Grille_HT1!B10,Grille!K:K,"Mineur")</f>
        <v>0</v>
      </c>
      <c r="I10" s="71">
        <f>SUMIFS(Grille!N:N,Grille!A:A,Grille_HT1!A10,Grille!C:C,Grille_HT1!B10,Grille!K:K,"Mineur")</f>
        <v>0</v>
      </c>
      <c r="J10" s="72" t="str">
        <f t="shared" si="1"/>
        <v>Non appliqué</v>
      </c>
      <c r="K10" s="71">
        <v>10</v>
      </c>
      <c r="L10" s="73">
        <f t="shared" ca="1" si="2"/>
        <v>0.125</v>
      </c>
      <c r="M10" s="73" t="str">
        <f t="shared" si="3"/>
        <v>Non appliqué</v>
      </c>
      <c r="N10" s="73">
        <f ca="1">IF(ISNUMBER(F10),F10*L10,F10)</f>
        <v>0</v>
      </c>
      <c r="O10" s="73">
        <f t="shared" ca="1" si="4"/>
        <v>0</v>
      </c>
      <c r="P10" s="73" t="str">
        <f>IF(ISNUMBER(J10),J10*M10,J10)</f>
        <v>Non appliqué</v>
      </c>
      <c r="Q10" s="73">
        <f t="shared" ca="1" si="5"/>
        <v>0</v>
      </c>
      <c r="R10" s="77"/>
      <c r="S10" s="75"/>
      <c r="T10" s="75"/>
      <c r="U10" s="75"/>
      <c r="V10" s="76"/>
      <c r="W10" s="76"/>
      <c r="X10" s="76"/>
      <c r="Y10" s="134">
        <v>6</v>
      </c>
    </row>
    <row r="11" spans="1:25" x14ac:dyDescent="0.3">
      <c r="A11" s="64" t="s">
        <v>659</v>
      </c>
      <c r="B11" s="65" t="s">
        <v>662</v>
      </c>
      <c r="C11" s="71">
        <f>SUMIFS(Grille!R:R,Grille!A:A,Grille_HT1!A11,Grille!C:C,Grille_HT1!B11,Grille!K:K,"Majeur")</f>
        <v>14</v>
      </c>
      <c r="D11" s="71">
        <f ca="1">SUMIFS(Grille!Q:Q,Grille!A:A,Grille_HT1!A11,Grille!C:C,Grille_HT1!B11,Grille!K:K,"Majeur")</f>
        <v>14</v>
      </c>
      <c r="E11" s="71">
        <f ca="1">SUMIFS(Grille!N:N,Grille!A:A,Grille_HT1!A11,Grille!C:C,Grille_HT1!B11,Grille!K:K,"Majeur")</f>
        <v>0</v>
      </c>
      <c r="F11" s="72">
        <f t="shared" ca="1" si="0"/>
        <v>0</v>
      </c>
      <c r="G11" s="71">
        <f>SUMIFS(Grille!R:R,Grille!A:A,Grille_HT1!A11,Grille!C:C,Grille_HT1!B11,Grille!K:K,"Mineur")</f>
        <v>1</v>
      </c>
      <c r="H11" s="71">
        <f ca="1">SUMIFS(Grille!Q:Q,Grille!A:A,Grille_HT1!A11,Grille!C:C,Grille_HT1!B11,Grille!K:K,"Mineur")</f>
        <v>1</v>
      </c>
      <c r="I11" s="71">
        <f ca="1">SUMIFS(Grille!N:N,Grille!A:A,Grille_HT1!A11,Grille!C:C,Grille_HT1!B11,Grille!K:K,"Mineur")</f>
        <v>0</v>
      </c>
      <c r="J11" s="72">
        <f t="shared" ca="1" si="1"/>
        <v>0</v>
      </c>
      <c r="K11" s="71">
        <v>40</v>
      </c>
      <c r="L11" s="73">
        <f t="shared" ca="1" si="2"/>
        <v>0.5</v>
      </c>
      <c r="M11" s="73">
        <f t="shared" ca="1" si="3"/>
        <v>0.53333333333333333</v>
      </c>
      <c r="N11" s="73">
        <f ca="1">IF(ISNUMBER(F11),F11*L11,F11)</f>
        <v>0</v>
      </c>
      <c r="O11" s="73">
        <f t="shared" ca="1" si="4"/>
        <v>0</v>
      </c>
      <c r="P11" s="73">
        <f ca="1">IF(ISNUMBER(J11),J11*M11,J11)</f>
        <v>0</v>
      </c>
      <c r="Q11" s="73">
        <f t="shared" ca="1" si="5"/>
        <v>0</v>
      </c>
      <c r="R11" s="77"/>
      <c r="S11" s="75"/>
      <c r="T11" s="75"/>
      <c r="U11" s="75"/>
      <c r="V11" s="76"/>
      <c r="W11" s="76"/>
      <c r="X11" s="76"/>
      <c r="Y11" s="134">
        <f t="shared" si="8"/>
        <v>7</v>
      </c>
    </row>
    <row r="12" spans="1:25" x14ac:dyDescent="0.3">
      <c r="A12" s="64" t="s">
        <v>659</v>
      </c>
      <c r="B12" s="65" t="s">
        <v>664</v>
      </c>
      <c r="C12" s="71">
        <f>SUMIFS(Grille!R:R,Grille!A:A,Grille_HT1!A12,Grille!C:C,Grille_HT1!B12,Grille!K:K,"Majeur")</f>
        <v>15</v>
      </c>
      <c r="D12" s="71">
        <f ca="1">SUMIFS(Grille!Q:Q,Grille!A:A,Grille_HT1!A12,Grille!C:C,Grille_HT1!B12,Grille!K:K,"Majeur")</f>
        <v>15</v>
      </c>
      <c r="E12" s="71">
        <f ca="1">SUMIFS(Grille!N:N,Grille!A:A,Grille_HT1!A12,Grille!C:C,Grille_HT1!B12,Grille!K:K,"Majeur")</f>
        <v>0</v>
      </c>
      <c r="F12" s="72">
        <f t="shared" ca="1" si="0"/>
        <v>0</v>
      </c>
      <c r="G12" s="71">
        <f>SUMIFS(Grille!R:R,Grille!A:A,Grille_HT1!A12,Grille!C:C,Grille_HT1!B12,Grille!K:K,"Mineur")</f>
        <v>10</v>
      </c>
      <c r="H12" s="71">
        <f ca="1">SUMIFS(Grille!Q:Q,Grille!A:A,Grille_HT1!A12,Grille!C:C,Grille_HT1!B12,Grille!K:K,"Mineur")</f>
        <v>10</v>
      </c>
      <c r="I12" s="71">
        <f ca="1">SUMIFS(Grille!N:N,Grille!A:A,Grille_HT1!A12,Grille!C:C,Grille_HT1!B12,Grille!K:K,"Mineur")</f>
        <v>0</v>
      </c>
      <c r="J12" s="72">
        <f t="shared" ca="1" si="1"/>
        <v>0</v>
      </c>
      <c r="K12" s="71">
        <v>30</v>
      </c>
      <c r="L12" s="73">
        <f t="shared" ca="1" si="2"/>
        <v>0.375</v>
      </c>
      <c r="M12" s="73">
        <f t="shared" ca="1" si="3"/>
        <v>0.4</v>
      </c>
      <c r="N12" s="73">
        <f ca="1">IF(ISNUMBER(F12),F12*L12,F12)</f>
        <v>0</v>
      </c>
      <c r="O12" s="73">
        <f t="shared" ca="1" si="4"/>
        <v>0</v>
      </c>
      <c r="P12" s="73">
        <f ca="1">IF(ISNUMBER(J12),J12*M12,J12)</f>
        <v>0</v>
      </c>
      <c r="Q12" s="73">
        <f t="shared" ca="1" si="5"/>
        <v>0</v>
      </c>
      <c r="R12" s="77"/>
      <c r="S12" s="75"/>
      <c r="T12" s="75"/>
      <c r="U12" s="75"/>
      <c r="V12" s="76"/>
      <c r="W12" s="76"/>
      <c r="X12" s="76"/>
      <c r="Y12" s="134">
        <f t="shared" si="8"/>
        <v>8</v>
      </c>
    </row>
    <row r="13" spans="1:25" x14ac:dyDescent="0.3">
      <c r="A13" s="64" t="s">
        <v>659</v>
      </c>
      <c r="B13" s="65" t="s">
        <v>667</v>
      </c>
      <c r="C13" s="71">
        <f>SUMIFS(Grille!R:R,Grille!A:A,Grille_HT1!A13,Grille!C:C,Grille_HT1!B13,Grille!K:K,"Majeur")</f>
        <v>0</v>
      </c>
      <c r="D13" s="71">
        <f>SUMIFS(Grille!Q:Q,Grille!A:A,Grille_HT1!A13,Grille!C:C,Grille_HT1!B13,Grille!K:K,"Majeur")</f>
        <v>0</v>
      </c>
      <c r="E13" s="71">
        <f>SUMIFS(Grille!N:N,Grille!A:A,Grille_HT1!A13,Grille!C:C,Grille_HT1!B13,Grille!K:K,"Majeur")</f>
        <v>0</v>
      </c>
      <c r="F13" s="72" t="str">
        <f t="shared" si="0"/>
        <v>Non appliqué</v>
      </c>
      <c r="G13" s="71">
        <f>SUMIFS(Grille!R:R,Grille!A:A,Grille_HT1!A13,Grille!C:C,Grille_HT1!B13,Grille!K:K,"Mineur")</f>
        <v>0</v>
      </c>
      <c r="H13" s="71">
        <f>SUMIFS(Grille!Q:Q,Grille!A:A,Grille_HT1!A13,Grille!C:C,Grille_HT1!B13,Grille!K:K,"Mineur")</f>
        <v>0</v>
      </c>
      <c r="I13" s="71">
        <f>SUMIFS(Grille!N:N,Grille!A:A,Grille_HT1!A13,Grille!C:C,Grille_HT1!B13,Grille!K:K,"Mineur")</f>
        <v>0</v>
      </c>
      <c r="J13" s="72" t="str">
        <f t="shared" si="1"/>
        <v>Non appliqué</v>
      </c>
      <c r="K13" s="71">
        <v>15</v>
      </c>
      <c r="L13" s="73" t="str">
        <f t="shared" si="2"/>
        <v>Non appliqué</v>
      </c>
      <c r="M13" s="73" t="str">
        <f t="shared" si="3"/>
        <v>Non appliqué</v>
      </c>
      <c r="N13" s="73" t="str">
        <f>IF(ISNUMBER(F13),F13*L13,F13)</f>
        <v>Non appliqué</v>
      </c>
      <c r="O13" s="73">
        <f t="shared" ca="1" si="4"/>
        <v>0</v>
      </c>
      <c r="P13" s="73" t="str">
        <f>IF(ISNUMBER(J13),J13*M13,J13)</f>
        <v>Non appliqué</v>
      </c>
      <c r="Q13" s="73">
        <f t="shared" ca="1" si="5"/>
        <v>0</v>
      </c>
      <c r="R13" s="77"/>
      <c r="S13" s="75"/>
      <c r="T13" s="75"/>
      <c r="U13" s="75"/>
      <c r="V13" s="76"/>
      <c r="W13" s="76"/>
      <c r="X13" s="76"/>
      <c r="Y13" s="134">
        <f t="shared" si="8"/>
        <v>9</v>
      </c>
    </row>
    <row r="14" spans="1:25" x14ac:dyDescent="0.3">
      <c r="A14" s="64" t="s">
        <v>659</v>
      </c>
      <c r="B14" s="65" t="s">
        <v>668</v>
      </c>
      <c r="C14" s="71">
        <f>SUMIFS(Grille!R:R,Grille!A:A,Grille_HT1!A14,Grille!C:C,Grille_HT1!B14,Grille!K:K,"Majeur")</f>
        <v>0</v>
      </c>
      <c r="D14" s="71">
        <f>SUMIFS(Grille!Q:Q,Grille!A:A,Grille_HT1!A14,Grille!C:C,Grille_HT1!B14,Grille!K:K,"Majeur")</f>
        <v>0</v>
      </c>
      <c r="E14" s="71">
        <f>SUMIFS(Grille!N:N,Grille!A:A,Grille_HT1!A14,Grille!C:C,Grille_HT1!B14,Grille!K:K,"Majeur")</f>
        <v>0</v>
      </c>
      <c r="F14" s="72" t="str">
        <f t="shared" si="0"/>
        <v>Non appliqué</v>
      </c>
      <c r="G14" s="71">
        <f>SUMIFS(Grille!R:R,Grille!A:A,Grille_HT1!A14,Grille!C:C,Grille_HT1!B14,Grille!K:K,"Mineur")</f>
        <v>2</v>
      </c>
      <c r="H14" s="71">
        <f ca="1">SUMIFS(Grille!Q:Q,Grille!A:A,Grille_HT1!A14,Grille!C:C,Grille_HT1!B14,Grille!K:K,"Mineur")</f>
        <v>2</v>
      </c>
      <c r="I14" s="71">
        <f ca="1">SUMIFS(Grille!N:N,Grille!A:A,Grille_HT1!A14,Grille!C:C,Grille_HT1!B14,Grille!K:K,"Mineur")</f>
        <v>0</v>
      </c>
      <c r="J14" s="72">
        <f t="shared" ca="1" si="1"/>
        <v>0</v>
      </c>
      <c r="K14" s="71">
        <v>5</v>
      </c>
      <c r="L14" s="73" t="str">
        <f t="shared" si="2"/>
        <v>Non appliqué</v>
      </c>
      <c r="M14" s="73">
        <f t="shared" ca="1" si="3"/>
        <v>6.6666666666666666E-2</v>
      </c>
      <c r="N14" s="73" t="str">
        <f>IF(ISNUMBER(F14),F14*L14,F14)</f>
        <v>Non appliqué</v>
      </c>
      <c r="O14" s="73">
        <f t="shared" ca="1" si="4"/>
        <v>0</v>
      </c>
      <c r="P14" s="73">
        <f ca="1">IF(ISNUMBER(J14),J14*M14,J14)</f>
        <v>0</v>
      </c>
      <c r="Q14" s="73">
        <f t="shared" ca="1" si="5"/>
        <v>0</v>
      </c>
      <c r="R14" s="77"/>
      <c r="S14" s="75"/>
      <c r="T14" s="75"/>
      <c r="U14" s="75"/>
      <c r="V14" s="76"/>
      <c r="W14" s="76"/>
      <c r="X14" s="76"/>
      <c r="Y14" s="134">
        <f t="shared" si="8"/>
        <v>10</v>
      </c>
    </row>
    <row r="15" spans="1:25" x14ac:dyDescent="0.3">
      <c r="A15" s="4"/>
      <c r="B15" s="4" t="str">
        <f>A16</f>
        <v>Sanitaires publiques</v>
      </c>
      <c r="C15" s="5"/>
      <c r="D15" s="5"/>
      <c r="E15" s="5"/>
      <c r="F15" s="5"/>
      <c r="G15" s="9"/>
      <c r="H15" s="9"/>
      <c r="I15" s="9"/>
      <c r="J15" s="6"/>
      <c r="K15" s="5"/>
      <c r="L15" s="5"/>
      <c r="M15" s="5"/>
      <c r="N15" s="6"/>
      <c r="O15" s="6"/>
      <c r="P15" s="6"/>
      <c r="Q15" s="6"/>
      <c r="R15" s="70">
        <v>2</v>
      </c>
      <c r="S15" s="7">
        <f t="shared" ca="1" si="6"/>
        <v>0.02</v>
      </c>
      <c r="T15" s="7">
        <f ca="1">IFERROR(S15/SUM(S:S),S15)</f>
        <v>3.5087719298245612E-2</v>
      </c>
      <c r="U15" s="7">
        <f ca="1">IFERROR(T15*O16,T15)</f>
        <v>0</v>
      </c>
      <c r="V15" s="7">
        <f t="shared" ca="1" si="7"/>
        <v>0.02</v>
      </c>
      <c r="W15" s="7">
        <f ca="1">IFERROR(V15/SUM(V:V),V15)</f>
        <v>3.3057851239669415E-2</v>
      </c>
      <c r="X15" s="7">
        <f ca="1">IFERROR(W15*Q16,W15)</f>
        <v>0</v>
      </c>
    </row>
    <row r="16" spans="1:25" x14ac:dyDescent="0.3">
      <c r="A16" s="64" t="s">
        <v>669</v>
      </c>
      <c r="B16" s="65" t="s">
        <v>671</v>
      </c>
      <c r="C16" s="71">
        <f>SUMIFS(Grille!R:R,Grille!A:A,Grille_HT1!A16,Grille!C:C,Grille_HT1!B16,Grille!K:K,"Majeur")</f>
        <v>12</v>
      </c>
      <c r="D16" s="71">
        <f ca="1">SUMIFS(Grille!Q:Q,Grille!A:A,Grille_HT1!A16,Grille!C:C,Grille_HT1!B16,Grille!K:K,"Majeur")</f>
        <v>12</v>
      </c>
      <c r="E16" s="71">
        <f ca="1">SUMIFS(Grille!N:N,Grille!A:A,Grille_HT1!A16,Grille!C:C,Grille_HT1!B16,Grille!K:K,"Majeur")</f>
        <v>0</v>
      </c>
      <c r="F16" s="72">
        <f t="shared" ca="1" si="0"/>
        <v>0</v>
      </c>
      <c r="G16" s="71">
        <f>SUMIFS(Grille!R:R,Grille!A:A,Grille_HT1!A16,Grille!C:C,Grille_HT1!B16,Grille!K:K,"Mineur")</f>
        <v>1</v>
      </c>
      <c r="H16" s="71">
        <f ca="1">SUMIFS(Grille!Q:Q,Grille!A:A,Grille_HT1!A16,Grille!C:C,Grille_HT1!B16,Grille!K:K,"Mineur")</f>
        <v>1</v>
      </c>
      <c r="I16" s="71">
        <f ca="1">SUMIFS(Grille!N:N,Grille!A:A,Grille_HT1!A16,Grille!C:C,Grille_HT1!B16,Grille!K:K,"Mineur")</f>
        <v>0</v>
      </c>
      <c r="J16" s="72">
        <f t="shared" ca="1" si="1"/>
        <v>0</v>
      </c>
      <c r="K16" s="71">
        <v>40</v>
      </c>
      <c r="L16" s="73">
        <f t="shared" ca="1" si="2"/>
        <v>0.4</v>
      </c>
      <c r="M16" s="73">
        <f t="shared" ca="1" si="3"/>
        <v>0.4</v>
      </c>
      <c r="N16" s="73">
        <f ca="1">IF(ISNUMBER(F16),F16*L16,F16)</f>
        <v>0</v>
      </c>
      <c r="O16" s="73">
        <f t="shared" ca="1" si="4"/>
        <v>0</v>
      </c>
      <c r="P16" s="73">
        <f ca="1">IF(ISNUMBER(J16),J16*M16,J16)</f>
        <v>0</v>
      </c>
      <c r="Q16" s="73">
        <f t="shared" ca="1" si="5"/>
        <v>0</v>
      </c>
      <c r="R16" s="77"/>
      <c r="S16" s="75"/>
      <c r="T16" s="75"/>
      <c r="U16" s="75"/>
      <c r="V16" s="76"/>
      <c r="W16" s="76"/>
      <c r="X16" s="76"/>
      <c r="Y16" s="134">
        <v>11</v>
      </c>
    </row>
    <row r="17" spans="1:25" x14ac:dyDescent="0.3">
      <c r="A17" s="64" t="s">
        <v>669</v>
      </c>
      <c r="B17" s="65" t="s">
        <v>673</v>
      </c>
      <c r="C17" s="71">
        <f>SUMIFS(Grille!R:R,Grille!A:A,Grille_HT1!A17,Grille!C:C,Grille_HT1!B17,Grille!K:K,"Majeur")</f>
        <v>9</v>
      </c>
      <c r="D17" s="71">
        <f ca="1">SUMIFS(Grille!Q:Q,Grille!A:A,Grille_HT1!A17,Grille!C:C,Grille_HT1!B17,Grille!K:K,"Majeur")</f>
        <v>9</v>
      </c>
      <c r="E17" s="71">
        <f ca="1">SUMIFS(Grille!N:N,Grille!A:A,Grille_HT1!A17,Grille!C:C,Grille_HT1!B17,Grille!K:K,"Majeur")</f>
        <v>0</v>
      </c>
      <c r="F17" s="72">
        <f t="shared" ca="1" si="0"/>
        <v>0</v>
      </c>
      <c r="G17" s="71">
        <f>SUMIFS(Grille!R:R,Grille!A:A,Grille_HT1!A17,Grille!C:C,Grille_HT1!B17,Grille!K:K,"Mineur")</f>
        <v>1</v>
      </c>
      <c r="H17" s="71">
        <f ca="1">SUMIFS(Grille!Q:Q,Grille!A:A,Grille_HT1!A17,Grille!C:C,Grille_HT1!B17,Grille!K:K,"Mineur")</f>
        <v>1</v>
      </c>
      <c r="I17" s="71">
        <f ca="1">SUMIFS(Grille!N:N,Grille!A:A,Grille_HT1!A17,Grille!C:C,Grille_HT1!B17,Grille!K:K,"Mineur")</f>
        <v>0</v>
      </c>
      <c r="J17" s="72">
        <f t="shared" ca="1" si="1"/>
        <v>0</v>
      </c>
      <c r="K17" s="71">
        <v>30</v>
      </c>
      <c r="L17" s="73">
        <f t="shared" ca="1" si="2"/>
        <v>0.3</v>
      </c>
      <c r="M17" s="73">
        <f t="shared" ca="1" si="3"/>
        <v>0.3</v>
      </c>
      <c r="N17" s="73">
        <f ca="1">IF(ISNUMBER(F17),F17*L17,F17)</f>
        <v>0</v>
      </c>
      <c r="O17" s="73">
        <f t="shared" ca="1" si="4"/>
        <v>0</v>
      </c>
      <c r="P17" s="73">
        <f ca="1">IF(ISNUMBER(J17),J17*M17,J17)</f>
        <v>0</v>
      </c>
      <c r="Q17" s="73">
        <f t="shared" ca="1" si="5"/>
        <v>0</v>
      </c>
      <c r="R17" s="77"/>
      <c r="S17" s="75"/>
      <c r="T17" s="75"/>
      <c r="U17" s="75"/>
      <c r="V17" s="76"/>
      <c r="W17" s="76"/>
      <c r="X17" s="76"/>
      <c r="Y17" s="134">
        <f t="shared" si="8"/>
        <v>12</v>
      </c>
    </row>
    <row r="18" spans="1:25" x14ac:dyDescent="0.3">
      <c r="A18" s="64" t="s">
        <v>669</v>
      </c>
      <c r="B18" s="65" t="s">
        <v>675</v>
      </c>
      <c r="C18" s="71">
        <f>SUMIFS(Grille!R:R,Grille!A:A,Grille_HT1!A18,Grille!C:C,Grille_HT1!B18,Grille!K:K,"Majeur")</f>
        <v>11</v>
      </c>
      <c r="D18" s="71">
        <f ca="1">SUMIFS(Grille!Q:Q,Grille!A:A,Grille_HT1!A18,Grille!C:C,Grille_HT1!B18,Grille!K:K,"Majeur")</f>
        <v>11</v>
      </c>
      <c r="E18" s="71">
        <f ca="1">SUMIFS(Grille!N:N,Grille!A:A,Grille_HT1!A18,Grille!C:C,Grille_HT1!B18,Grille!K:K,"Majeur")</f>
        <v>0</v>
      </c>
      <c r="F18" s="72">
        <f t="shared" ca="1" si="0"/>
        <v>0</v>
      </c>
      <c r="G18" s="71">
        <f>SUMIFS(Grille!R:R,Grille!A:A,Grille_HT1!A18,Grille!C:C,Grille_HT1!B18,Grille!K:K,"Mineur")</f>
        <v>1</v>
      </c>
      <c r="H18" s="71">
        <f ca="1">SUMIFS(Grille!Q:Q,Grille!A:A,Grille_HT1!A18,Grille!C:C,Grille_HT1!B18,Grille!K:K,"Mineur")</f>
        <v>1</v>
      </c>
      <c r="I18" s="71">
        <f ca="1">SUMIFS(Grille!N:N,Grille!A:A,Grille_HT1!A18,Grille!C:C,Grille_HT1!B18,Grille!K:K,"Mineur")</f>
        <v>0</v>
      </c>
      <c r="J18" s="72">
        <f t="shared" ca="1" si="1"/>
        <v>0</v>
      </c>
      <c r="K18" s="71">
        <v>30</v>
      </c>
      <c r="L18" s="73">
        <f t="shared" ca="1" si="2"/>
        <v>0.3</v>
      </c>
      <c r="M18" s="73">
        <f t="shared" ca="1" si="3"/>
        <v>0.3</v>
      </c>
      <c r="N18" s="73">
        <f ca="1">IF(ISNUMBER(F18),F18*L18,F18)</f>
        <v>0</v>
      </c>
      <c r="O18" s="73">
        <f t="shared" ca="1" si="4"/>
        <v>0</v>
      </c>
      <c r="P18" s="73">
        <f ca="1">IF(ISNUMBER(J18),J18*M18,J18)</f>
        <v>0</v>
      </c>
      <c r="Q18" s="73">
        <f t="shared" ca="1" si="5"/>
        <v>0</v>
      </c>
      <c r="R18" s="77"/>
      <c r="S18" s="75"/>
      <c r="T18" s="75"/>
      <c r="U18" s="75"/>
      <c r="V18" s="76"/>
      <c r="W18" s="76"/>
      <c r="X18" s="76"/>
      <c r="Y18" s="134">
        <f t="shared" si="8"/>
        <v>13</v>
      </c>
    </row>
    <row r="19" spans="1:25" x14ac:dyDescent="0.3">
      <c r="A19" s="4"/>
      <c r="B19" s="4" t="str">
        <f>A20</f>
        <v>Circulation</v>
      </c>
      <c r="C19" s="5"/>
      <c r="D19" s="5"/>
      <c r="E19" s="5"/>
      <c r="F19" s="5"/>
      <c r="G19" s="9"/>
      <c r="H19" s="9"/>
      <c r="I19" s="9"/>
      <c r="J19" s="6"/>
      <c r="K19" s="5"/>
      <c r="L19" s="5"/>
      <c r="M19" s="5"/>
      <c r="N19" s="6"/>
      <c r="O19" s="6"/>
      <c r="P19" s="6"/>
      <c r="Q19" s="6"/>
      <c r="R19" s="70">
        <v>3</v>
      </c>
      <c r="S19" s="7">
        <f t="shared" ca="1" si="6"/>
        <v>0.03</v>
      </c>
      <c r="T19" s="7">
        <f ca="1">IFERROR(S19/SUM(S:S),S19)</f>
        <v>5.2631578947368411E-2</v>
      </c>
      <c r="U19" s="7">
        <f ca="1">IFERROR(T19*O20,T19)</f>
        <v>0</v>
      </c>
      <c r="V19" s="7">
        <f t="shared" ca="1" si="7"/>
        <v>0.03</v>
      </c>
      <c r="W19" s="7">
        <f ca="1">IFERROR(V19/SUM(V:V),V19)</f>
        <v>4.958677685950412E-2</v>
      </c>
      <c r="X19" s="7">
        <f ca="1">IFERROR(W19*Q20,W19)</f>
        <v>0</v>
      </c>
    </row>
    <row r="20" spans="1:25" x14ac:dyDescent="0.3">
      <c r="A20" s="64" t="s">
        <v>676</v>
      </c>
      <c r="B20" s="65" t="s">
        <v>677</v>
      </c>
      <c r="C20" s="71">
        <f>SUMIFS(Grille!R:R,Grille!A:A,Grille_HT1!A20,Grille!C:C,Grille_HT1!B20,Grille!K:K,"Majeur")</f>
        <v>13</v>
      </c>
      <c r="D20" s="71">
        <f ca="1">SUMIFS(Grille!Q:Q,Grille!A:A,Grille_HT1!A20,Grille!C:C,Grille_HT1!B20,Grille!K:K,"Majeur")</f>
        <v>13</v>
      </c>
      <c r="E20" s="71">
        <f ca="1">SUMIFS(Grille!N:N,Grille!A:A,Grille_HT1!A20,Grille!C:C,Grille_HT1!B20,Grille!K:K,"Majeur")</f>
        <v>0</v>
      </c>
      <c r="F20" s="72">
        <f t="shared" ca="1" si="0"/>
        <v>0</v>
      </c>
      <c r="G20" s="71">
        <f>SUMIFS(Grille!R:R,Grille!A:A,Grille_HT1!A20,Grille!C:C,Grille_HT1!B20,Grille!K:K,"Mineur")</f>
        <v>8</v>
      </c>
      <c r="H20" s="71">
        <f ca="1">SUMIFS(Grille!Q:Q,Grille!A:A,Grille_HT1!A20,Grille!C:C,Grille_HT1!B20,Grille!K:K,"Mineur")</f>
        <v>8</v>
      </c>
      <c r="I20" s="71">
        <f ca="1">SUMIFS(Grille!N:N,Grille!A:A,Grille_HT1!A20,Grille!C:C,Grille_HT1!B20,Grille!K:K,"Mineur")</f>
        <v>0</v>
      </c>
      <c r="J20" s="72">
        <f t="shared" ca="1" si="1"/>
        <v>0</v>
      </c>
      <c r="K20" s="71">
        <v>70</v>
      </c>
      <c r="L20" s="73">
        <f t="shared" ca="1" si="2"/>
        <v>1</v>
      </c>
      <c r="M20" s="73">
        <f t="shared" ca="1" si="3"/>
        <v>1</v>
      </c>
      <c r="N20" s="73">
        <f ca="1">IF(ISNUMBER(F20),F20*L20,F20)</f>
        <v>0</v>
      </c>
      <c r="O20" s="73">
        <f t="shared" ca="1" si="4"/>
        <v>0</v>
      </c>
      <c r="P20" s="73">
        <f ca="1">IF(ISNUMBER(J20),J20*M20,J20)</f>
        <v>0</v>
      </c>
      <c r="Q20" s="73">
        <f t="shared" ca="1" si="5"/>
        <v>0</v>
      </c>
      <c r="R20" s="77"/>
      <c r="S20" s="75"/>
      <c r="T20" s="75"/>
      <c r="U20" s="75"/>
      <c r="V20" s="76"/>
      <c r="W20" s="76"/>
      <c r="X20" s="76"/>
      <c r="Y20" s="134">
        <v>14</v>
      </c>
    </row>
    <row r="21" spans="1:25" x14ac:dyDescent="0.3">
      <c r="A21" s="64" t="s">
        <v>676</v>
      </c>
      <c r="B21" s="65" t="s">
        <v>678</v>
      </c>
      <c r="C21" s="71">
        <f>SUMIFS(Grille!R:R,Grille!A:A,Grille_HT1!A21,Grille!C:C,Grille_HT1!B21,Grille!K:K,"Majeur")</f>
        <v>0</v>
      </c>
      <c r="D21" s="71">
        <f>SUMIFS(Grille!Q:Q,Grille!A:A,Grille_HT1!A21,Grille!C:C,Grille_HT1!B21,Grille!K:K,"Majeur")</f>
        <v>0</v>
      </c>
      <c r="E21" s="71">
        <f>SUMIFS(Grille!N:N,Grille!A:A,Grille_HT1!A21,Grille!C:C,Grille_HT1!B21,Grille!K:K,"Majeur")</f>
        <v>0</v>
      </c>
      <c r="F21" s="72" t="str">
        <f t="shared" si="0"/>
        <v>Non appliqué</v>
      </c>
      <c r="G21" s="71">
        <f>SUMIFS(Grille!R:R,Grille!A:A,Grille_HT1!A21,Grille!C:C,Grille_HT1!B21,Grille!K:K,"Mineur")</f>
        <v>0</v>
      </c>
      <c r="H21" s="71">
        <f>SUMIFS(Grille!Q:Q,Grille!A:A,Grille_HT1!A21,Grille!C:C,Grille_HT1!B21,Grille!K:K,"Mineur")</f>
        <v>0</v>
      </c>
      <c r="I21" s="71">
        <f>SUMIFS(Grille!N:N,Grille!A:A,Grille_HT1!A21,Grille!C:C,Grille_HT1!B21,Grille!K:K,"Mineur")</f>
        <v>0</v>
      </c>
      <c r="J21" s="72" t="str">
        <f t="shared" si="1"/>
        <v>Non appliqué</v>
      </c>
      <c r="K21" s="71">
        <v>30</v>
      </c>
      <c r="L21" s="73" t="str">
        <f t="shared" si="2"/>
        <v>Non appliqué</v>
      </c>
      <c r="M21" s="73" t="str">
        <f t="shared" si="3"/>
        <v>Non appliqué</v>
      </c>
      <c r="N21" s="73" t="str">
        <f>IF(ISNUMBER(F21),F21*L21,F21)</f>
        <v>Non appliqué</v>
      </c>
      <c r="O21" s="73">
        <f t="shared" ca="1" si="4"/>
        <v>0</v>
      </c>
      <c r="P21" s="73" t="str">
        <f>IF(ISNUMBER(J21),J21*M21,J21)</f>
        <v>Non appliqué</v>
      </c>
      <c r="Q21" s="73">
        <f t="shared" ca="1" si="5"/>
        <v>0</v>
      </c>
      <c r="R21" s="77"/>
      <c r="S21" s="75"/>
      <c r="T21" s="75"/>
      <c r="U21" s="75"/>
      <c r="V21" s="76"/>
      <c r="W21" s="76"/>
      <c r="X21" s="76"/>
      <c r="Y21" s="134">
        <f t="shared" si="8"/>
        <v>15</v>
      </c>
    </row>
    <row r="22" spans="1:25" ht="25.2" x14ac:dyDescent="0.3">
      <c r="A22" s="4"/>
      <c r="B22" s="4" t="str">
        <f>A23</f>
        <v>Petit déjeuner</v>
      </c>
      <c r="C22" s="5"/>
      <c r="D22" s="5"/>
      <c r="E22" s="5"/>
      <c r="F22" s="5"/>
      <c r="G22" s="9"/>
      <c r="H22" s="9"/>
      <c r="I22" s="9"/>
      <c r="J22" s="6"/>
      <c r="K22" s="5"/>
      <c r="L22" s="5"/>
      <c r="M22" s="5"/>
      <c r="N22" s="6"/>
      <c r="O22" s="6"/>
      <c r="P22" s="6"/>
      <c r="Q22" s="6"/>
      <c r="R22" s="70">
        <v>7.5</v>
      </c>
      <c r="S22" s="7" t="str">
        <f t="shared" si="6"/>
        <v>Non appliqué</v>
      </c>
      <c r="T22" s="7" t="str">
        <f ca="1">IFERROR(S22/SUM(S:S),S22)</f>
        <v>Non appliqué</v>
      </c>
      <c r="U22" s="7" t="str">
        <f ca="1">IFERROR(T22*O23,T22)</f>
        <v>Non appliqué</v>
      </c>
      <c r="V22" s="7">
        <f t="shared" ca="1" si="7"/>
        <v>7.4999999999999997E-2</v>
      </c>
      <c r="W22" s="7">
        <f ca="1">IFERROR(V22/SUM(V:V),V22)</f>
        <v>0.12396694214876031</v>
      </c>
      <c r="X22" s="7">
        <f ca="1">IFERROR(W22*Q23,W22)</f>
        <v>0</v>
      </c>
    </row>
    <row r="23" spans="1:25" x14ac:dyDescent="0.3">
      <c r="A23" s="64" t="s">
        <v>680</v>
      </c>
      <c r="B23" s="65" t="s">
        <v>682</v>
      </c>
      <c r="C23" s="71">
        <f>SUMIFS(Grille!R:R,Grille!A:A,Grille_HT1!A23,Grille!C:C,Grille_HT1!B23,Grille!K:K,"Majeur")</f>
        <v>0</v>
      </c>
      <c r="D23" s="71">
        <f>SUMIFS(Grille!Q:Q,Grille!A:A,Grille_HT1!A23,Grille!C:C,Grille_HT1!B23,Grille!K:K,"Majeur")</f>
        <v>0</v>
      </c>
      <c r="E23" s="71">
        <f>SUMIFS(Grille!N:N,Grille!A:A,Grille_HT1!A23,Grille!C:C,Grille_HT1!B23,Grille!K:K,"Majeur")</f>
        <v>0</v>
      </c>
      <c r="F23" s="72" t="str">
        <f t="shared" si="0"/>
        <v>Non appliqué</v>
      </c>
      <c r="G23" s="71">
        <f>SUMIFS(Grille!R:R,Grille!A:A,Grille_HT1!A23,Grille!C:C,Grille_HT1!B23,Grille!K:K,"Mineur")</f>
        <v>17</v>
      </c>
      <c r="H23" s="71">
        <f ca="1">SUMIFS(Grille!Q:Q,Grille!A:A,Grille_HT1!A23,Grille!C:C,Grille_HT1!B23,Grille!K:K,"Mineur")</f>
        <v>17</v>
      </c>
      <c r="I23" s="71">
        <f ca="1">SUMIFS(Grille!N:N,Grille!A:A,Grille_HT1!A23,Grille!C:C,Grille_HT1!B23,Grille!K:K,"Mineur")</f>
        <v>0</v>
      </c>
      <c r="J23" s="72">
        <f t="shared" ca="1" si="1"/>
        <v>0</v>
      </c>
      <c r="K23" s="71">
        <v>70</v>
      </c>
      <c r="L23" s="73" t="str">
        <f t="shared" si="2"/>
        <v>Non appliqué</v>
      </c>
      <c r="M23" s="73">
        <f t="shared" ca="1" si="3"/>
        <v>0.7</v>
      </c>
      <c r="N23" s="73" t="str">
        <f>IF(ISNUMBER(F23),F23*L23,F23)</f>
        <v>Non appliqué</v>
      </c>
      <c r="O23" s="73" t="str">
        <f t="shared" si="4"/>
        <v>Non appliqué</v>
      </c>
      <c r="P23" s="73">
        <f ca="1">IF(ISNUMBER(J23),J23*M23,J23)</f>
        <v>0</v>
      </c>
      <c r="Q23" s="73">
        <f t="shared" ca="1" si="5"/>
        <v>0</v>
      </c>
      <c r="R23" s="77"/>
      <c r="S23" s="75"/>
      <c r="T23" s="75"/>
      <c r="U23" s="75"/>
      <c r="V23" s="76"/>
      <c r="W23" s="76"/>
      <c r="X23" s="76"/>
      <c r="Y23" s="134">
        <v>16</v>
      </c>
    </row>
    <row r="24" spans="1:25" x14ac:dyDescent="0.3">
      <c r="A24" s="64" t="s">
        <v>680</v>
      </c>
      <c r="B24" s="65" t="s">
        <v>685</v>
      </c>
      <c r="C24" s="71">
        <f>SUMIFS(Grille!R:R,Grille!A:A,Grille_HT1!A24,Grille!C:C,Grille_HT1!B24,Grille!K:K,"Majeur")</f>
        <v>0</v>
      </c>
      <c r="D24" s="71">
        <f>SUMIFS(Grille!Q:Q,Grille!A:A,Grille_HT1!A24,Grille!C:C,Grille_HT1!B24,Grille!K:K,"Majeur")</f>
        <v>0</v>
      </c>
      <c r="E24" s="71">
        <f>SUMIFS(Grille!N:N,Grille!A:A,Grille_HT1!A24,Grille!C:C,Grille_HT1!B24,Grille!K:K,"Majeur")</f>
        <v>0</v>
      </c>
      <c r="F24" s="72" t="str">
        <f t="shared" si="0"/>
        <v>Non appliqué</v>
      </c>
      <c r="G24" s="71">
        <f>SUMIFS(Grille!R:R,Grille!A:A,Grille_HT1!A24,Grille!C:C,Grille_HT1!B24,Grille!K:K,"Mineur")</f>
        <v>18</v>
      </c>
      <c r="H24" s="71">
        <f ca="1">SUMIFS(Grille!Q:Q,Grille!A:A,Grille_HT1!A24,Grille!C:C,Grille_HT1!B24,Grille!K:K,"Mineur")</f>
        <v>18</v>
      </c>
      <c r="I24" s="71">
        <f ca="1">SUMIFS(Grille!N:N,Grille!A:A,Grille_HT1!A24,Grille!C:C,Grille_HT1!B24,Grille!K:K,"Mineur")</f>
        <v>0</v>
      </c>
      <c r="J24" s="72">
        <f t="shared" ca="1" si="1"/>
        <v>0</v>
      </c>
      <c r="K24" s="71">
        <v>30</v>
      </c>
      <c r="L24" s="73" t="str">
        <f t="shared" si="2"/>
        <v>Non appliqué</v>
      </c>
      <c r="M24" s="73">
        <f t="shared" ca="1" si="3"/>
        <v>0.3</v>
      </c>
      <c r="N24" s="73" t="str">
        <f>IF(ISNUMBER(F24),F24*L24,F24)</f>
        <v>Non appliqué</v>
      </c>
      <c r="O24" s="73" t="str">
        <f t="shared" si="4"/>
        <v>Non appliqué</v>
      </c>
      <c r="P24" s="73">
        <f ca="1">IF(ISNUMBER(J24),J24*M24,J24)</f>
        <v>0</v>
      </c>
      <c r="Q24" s="73">
        <f t="shared" ca="1" si="5"/>
        <v>0</v>
      </c>
      <c r="R24" s="77"/>
      <c r="S24" s="75"/>
      <c r="T24" s="75"/>
      <c r="U24" s="75"/>
      <c r="V24" s="76"/>
      <c r="W24" s="76"/>
      <c r="X24" s="76"/>
      <c r="Y24" s="134">
        <f t="shared" si="8"/>
        <v>17</v>
      </c>
    </row>
    <row r="25" spans="1:25" ht="25.2" x14ac:dyDescent="0.3">
      <c r="A25" s="4"/>
      <c r="B25" s="4" t="s">
        <v>686</v>
      </c>
      <c r="C25" s="5"/>
      <c r="D25" s="5"/>
      <c r="E25" s="5"/>
      <c r="F25" s="5"/>
      <c r="G25" s="9"/>
      <c r="H25" s="9"/>
      <c r="I25" s="9"/>
      <c r="J25" s="6"/>
      <c r="K25" s="5"/>
      <c r="L25" s="5"/>
      <c r="M25" s="5"/>
      <c r="N25" s="6"/>
      <c r="O25" s="6"/>
      <c r="P25" s="6"/>
      <c r="Q25" s="6"/>
      <c r="R25" s="70">
        <v>7.5</v>
      </c>
      <c r="S25" s="7" t="str">
        <f t="shared" si="6"/>
        <v>Non appliqué</v>
      </c>
      <c r="T25" s="7" t="str">
        <f ca="1">IFERROR(S25/SUM(S:S),S25)</f>
        <v>Non appliqué</v>
      </c>
      <c r="U25" s="7" t="str">
        <f ca="1">IFERROR(T25*O26,T25)</f>
        <v>Non appliqué</v>
      </c>
      <c r="V25" s="7" t="str">
        <f t="shared" si="7"/>
        <v>Non appliqué</v>
      </c>
      <c r="W25" s="7" t="str">
        <f ca="1">IFERROR(V25/SUM(V:V),V25)</f>
        <v>Non appliqué</v>
      </c>
      <c r="X25" s="7" t="str">
        <f ca="1">IFERROR(W25*Q26,W25)</f>
        <v>Non appliqué</v>
      </c>
    </row>
    <row r="26" spans="1:25" x14ac:dyDescent="0.3">
      <c r="A26" s="64" t="s">
        <v>686</v>
      </c>
      <c r="B26" s="65" t="s">
        <v>682</v>
      </c>
      <c r="C26" s="71">
        <f>SUMIFS(Grille!R:R,Grille!A:A,Grille_HT1!A26,Grille!C:C,Grille_HT1!B26,Grille!K:K,"Majeur")</f>
        <v>0</v>
      </c>
      <c r="D26" s="71">
        <f>SUMIFS(Grille!Q:Q,Grille!A:A,Grille_HT1!A26,Grille!C:C,Grille_HT1!B26,Grille!K:K,"Majeur")</f>
        <v>0</v>
      </c>
      <c r="E26" s="71">
        <f>SUMIFS(Grille!N:N,Grille!A:A,Grille_HT1!A26,Grille!C:C,Grille_HT1!B26,Grille!K:K,"Majeur")</f>
        <v>0</v>
      </c>
      <c r="F26" s="72" t="str">
        <f t="shared" si="0"/>
        <v>Non appliqué</v>
      </c>
      <c r="G26" s="71">
        <f>SUMIFS(Grille!R:R,Grille!A:A,Grille_HT1!A26,Grille!C:C,Grille_HT1!B26,Grille!K:K,"Mineur")</f>
        <v>0</v>
      </c>
      <c r="H26" s="71">
        <f>SUMIFS(Grille!Q:Q,Grille!A:A,Grille_HT1!A26,Grille!C:C,Grille_HT1!B26,Grille!K:K,"Mineur")</f>
        <v>0</v>
      </c>
      <c r="I26" s="71">
        <f>SUMIFS(Grille!N:N,Grille!A:A,Grille_HT1!A26,Grille!C:C,Grille_HT1!B26,Grille!K:K,"Mineur")</f>
        <v>0</v>
      </c>
      <c r="J26" s="72" t="str">
        <f t="shared" si="1"/>
        <v>Non appliqué</v>
      </c>
      <c r="K26" s="71">
        <v>50</v>
      </c>
      <c r="L26" s="73" t="str">
        <f t="shared" si="2"/>
        <v>Non appliqué</v>
      </c>
      <c r="M26" s="73" t="str">
        <f t="shared" si="3"/>
        <v>Non appliqué</v>
      </c>
      <c r="N26" s="73" t="str">
        <f>IF(ISNUMBER(F26),F26*L26,F26)</f>
        <v>Non appliqué</v>
      </c>
      <c r="O26" s="73" t="str">
        <f t="shared" si="4"/>
        <v>Non appliqué</v>
      </c>
      <c r="P26" s="73" t="str">
        <f>IF(ISNUMBER(J26),J26*M26,J26)</f>
        <v>Non appliqué</v>
      </c>
      <c r="Q26" s="73" t="str">
        <f t="shared" si="5"/>
        <v>Non appliqué</v>
      </c>
      <c r="R26" s="77"/>
      <c r="S26" s="75"/>
      <c r="T26" s="75"/>
      <c r="U26" s="75"/>
      <c r="V26" s="76"/>
      <c r="W26" s="76"/>
      <c r="X26" s="76"/>
      <c r="Y26" s="134">
        <f>Y24+1</f>
        <v>18</v>
      </c>
    </row>
    <row r="27" spans="1:25" x14ac:dyDescent="0.3">
      <c r="A27" s="64" t="s">
        <v>686</v>
      </c>
      <c r="B27" s="65" t="s">
        <v>685</v>
      </c>
      <c r="C27" s="71">
        <f>SUMIFS(Grille!R:R,Grille!A:A,Grille_HT1!A27,Grille!C:C,Grille_HT1!B27,Grille!K:K,"Majeur")</f>
        <v>0</v>
      </c>
      <c r="D27" s="71">
        <f>SUMIFS(Grille!Q:Q,Grille!A:A,Grille_HT1!A27,Grille!C:C,Grille_HT1!B27,Grille!K:K,"Majeur")</f>
        <v>0</v>
      </c>
      <c r="E27" s="71">
        <f>SUMIFS(Grille!N:N,Grille!A:A,Grille_HT1!A27,Grille!C:C,Grille_HT1!B27,Grille!K:K,"Majeur")</f>
        <v>0</v>
      </c>
      <c r="F27" s="72" t="str">
        <f t="shared" si="0"/>
        <v>Non appliqué</v>
      </c>
      <c r="G27" s="71">
        <f>SUMIFS(Grille!R:R,Grille!A:A,Grille_HT1!A27,Grille!C:C,Grille_HT1!B27,Grille!K:K,"Mineur")</f>
        <v>0</v>
      </c>
      <c r="H27" s="71">
        <f>SUMIFS(Grille!Q:Q,Grille!A:A,Grille_HT1!A27,Grille!C:C,Grille_HT1!B27,Grille!K:K,"Mineur")</f>
        <v>0</v>
      </c>
      <c r="I27" s="71">
        <f>SUMIFS(Grille!N:N,Grille!A:A,Grille_HT1!A27,Grille!C:C,Grille_HT1!B27,Grille!K:K,"Mineur")</f>
        <v>0</v>
      </c>
      <c r="J27" s="72" t="str">
        <f t="shared" si="1"/>
        <v>Non appliqué</v>
      </c>
      <c r="K27" s="71">
        <v>50</v>
      </c>
      <c r="L27" s="73" t="str">
        <f t="shared" si="2"/>
        <v>Non appliqué</v>
      </c>
      <c r="M27" s="73" t="str">
        <f t="shared" si="3"/>
        <v>Non appliqué</v>
      </c>
      <c r="N27" s="73" t="str">
        <f>IF(ISNUMBER(F27),F27*L27,F27)</f>
        <v>Non appliqué</v>
      </c>
      <c r="O27" s="73" t="str">
        <f t="shared" si="4"/>
        <v>Non appliqué</v>
      </c>
      <c r="P27" s="73" t="str">
        <f>IF(ISNUMBER(J27),J27*M27,J27)</f>
        <v>Non appliqué</v>
      </c>
      <c r="Q27" s="73" t="str">
        <f t="shared" si="5"/>
        <v>Non appliqué</v>
      </c>
      <c r="R27" s="77"/>
      <c r="S27" s="75"/>
      <c r="T27" s="75"/>
      <c r="U27" s="75"/>
      <c r="V27" s="76"/>
      <c r="W27" s="76"/>
      <c r="X27" s="76"/>
      <c r="Y27" s="134">
        <f t="shared" si="8"/>
        <v>19</v>
      </c>
    </row>
    <row r="28" spans="1:25" ht="25.2" x14ac:dyDescent="0.3">
      <c r="A28" s="4"/>
      <c r="B28" s="4" t="s">
        <v>692</v>
      </c>
      <c r="C28" s="5"/>
      <c r="D28" s="5"/>
      <c r="E28" s="5"/>
      <c r="F28" s="5"/>
      <c r="G28" s="9"/>
      <c r="H28" s="9"/>
      <c r="I28" s="9"/>
      <c r="J28" s="6"/>
      <c r="K28" s="5"/>
      <c r="L28" s="5"/>
      <c r="M28" s="5"/>
      <c r="N28" s="6"/>
      <c r="O28" s="6"/>
      <c r="P28" s="6"/>
      <c r="Q28" s="6"/>
      <c r="R28" s="70">
        <v>3</v>
      </c>
      <c r="S28" s="7" t="str">
        <f t="shared" si="6"/>
        <v>Non appliqué</v>
      </c>
      <c r="T28" s="7" t="str">
        <f ca="1">IFERROR(S28/SUM(S:S),S28)</f>
        <v>Non appliqué</v>
      </c>
      <c r="U28" s="7" t="str">
        <f ca="1">IFERROR(T28*O29,T28)</f>
        <v>Non appliqué</v>
      </c>
      <c r="V28" s="7" t="str">
        <f t="shared" si="7"/>
        <v>Non appliqué</v>
      </c>
      <c r="W28" s="7" t="str">
        <f ca="1">IFERROR(V28/SUM(V:V),V28)</f>
        <v>Non appliqué</v>
      </c>
      <c r="X28" s="7" t="str">
        <f ca="1">IFERROR(W28*Q29,W28)</f>
        <v>Non appliqué</v>
      </c>
    </row>
    <row r="29" spans="1:25" x14ac:dyDescent="0.3">
      <c r="A29" s="64" t="s">
        <v>692</v>
      </c>
      <c r="B29" s="65" t="s">
        <v>682</v>
      </c>
      <c r="C29" s="71">
        <f>SUMIFS(Grille!R:R,Grille!A:A,Grille_HT1!A29,Grille!C:C,Grille_HT1!B29,Grille!K:K,"Majeur")</f>
        <v>0</v>
      </c>
      <c r="D29" s="71">
        <f>SUMIFS(Grille!Q:Q,Grille!A:A,Grille_HT1!A29,Grille!C:C,Grille_HT1!B29,Grille!K:K,"Majeur")</f>
        <v>0</v>
      </c>
      <c r="E29" s="71">
        <f>SUMIFS(Grille!N:N,Grille!A:A,Grille_HT1!A29,Grille!C:C,Grille_HT1!B29,Grille!K:K,"Majeur")</f>
        <v>0</v>
      </c>
      <c r="F29" s="72" t="str">
        <f t="shared" si="0"/>
        <v>Non appliqué</v>
      </c>
      <c r="G29" s="71">
        <f>SUMIFS(Grille!R:R,Grille!A:A,Grille_HT1!A29,Grille!C:C,Grille_HT1!B29,Grille!K:K,"Mineur")</f>
        <v>0</v>
      </c>
      <c r="H29" s="71">
        <f>SUMIFS(Grille!Q:Q,Grille!A:A,Grille_HT1!A29,Grille!C:C,Grille_HT1!B29,Grille!K:K,"Mineur")</f>
        <v>0</v>
      </c>
      <c r="I29" s="71">
        <f>SUMIFS(Grille!N:N,Grille!A:A,Grille_HT1!A29,Grille!C:C,Grille_HT1!B29,Grille!K:K,"Mineur")</f>
        <v>0</v>
      </c>
      <c r="J29" s="72" t="str">
        <f t="shared" si="1"/>
        <v>Non appliqué</v>
      </c>
      <c r="K29" s="71">
        <v>50</v>
      </c>
      <c r="L29" s="73" t="str">
        <f t="shared" si="2"/>
        <v>Non appliqué</v>
      </c>
      <c r="M29" s="73" t="str">
        <f t="shared" si="3"/>
        <v>Non appliqué</v>
      </c>
      <c r="N29" s="73" t="str">
        <f>IF(ISNUMBER(F29),F29*L29,F29)</f>
        <v>Non appliqué</v>
      </c>
      <c r="O29" s="73" t="str">
        <f t="shared" si="4"/>
        <v>Non appliqué</v>
      </c>
      <c r="P29" s="73" t="str">
        <f>IF(ISNUMBER(J29),J29*M29,J29)</f>
        <v>Non appliqué</v>
      </c>
      <c r="Q29" s="73" t="str">
        <f t="shared" si="5"/>
        <v>Non appliqué</v>
      </c>
      <c r="R29" s="77"/>
      <c r="S29" s="75"/>
      <c r="T29" s="75"/>
      <c r="U29" s="75"/>
      <c r="V29" s="76"/>
      <c r="W29" s="76"/>
      <c r="X29" s="76"/>
      <c r="Y29" s="134">
        <f>Y27+1</f>
        <v>20</v>
      </c>
    </row>
    <row r="30" spans="1:25" x14ac:dyDescent="0.3">
      <c r="A30" s="64" t="s">
        <v>692</v>
      </c>
      <c r="B30" s="65" t="s">
        <v>685</v>
      </c>
      <c r="C30" s="71">
        <f>SUMIFS(Grille!R:R,Grille!A:A,Grille_HT1!A30,Grille!C:C,Grille_HT1!B30,Grille!K:K,"Majeur")</f>
        <v>0</v>
      </c>
      <c r="D30" s="71">
        <f>SUMIFS(Grille!Q:Q,Grille!A:A,Grille_HT1!A30,Grille!C:C,Grille_HT1!B30,Grille!K:K,"Majeur")</f>
        <v>0</v>
      </c>
      <c r="E30" s="71">
        <f>SUMIFS(Grille!N:N,Grille!A:A,Grille_HT1!A30,Grille!C:C,Grille_HT1!B30,Grille!K:K,"Majeur")</f>
        <v>0</v>
      </c>
      <c r="F30" s="72" t="str">
        <f t="shared" si="0"/>
        <v>Non appliqué</v>
      </c>
      <c r="G30" s="71">
        <f>SUMIFS(Grille!R:R,Grille!A:A,Grille_HT1!A30,Grille!C:C,Grille_HT1!B30,Grille!K:K,"Mineur")</f>
        <v>0</v>
      </c>
      <c r="H30" s="71">
        <f>SUMIFS(Grille!Q:Q,Grille!A:A,Grille_HT1!A30,Grille!C:C,Grille_HT1!B30,Grille!K:K,"Mineur")</f>
        <v>0</v>
      </c>
      <c r="I30" s="71">
        <f>SUMIFS(Grille!N:N,Grille!A:A,Grille_HT1!A30,Grille!C:C,Grille_HT1!B30,Grille!K:K,"Mineur")</f>
        <v>0</v>
      </c>
      <c r="J30" s="72" t="str">
        <f t="shared" si="1"/>
        <v>Non appliqué</v>
      </c>
      <c r="K30" s="71">
        <v>50</v>
      </c>
      <c r="L30" s="73" t="str">
        <f t="shared" si="2"/>
        <v>Non appliqué</v>
      </c>
      <c r="M30" s="73" t="str">
        <f t="shared" si="3"/>
        <v>Non appliqué</v>
      </c>
      <c r="N30" s="73" t="str">
        <f>IF(ISNUMBER(F30),F30*L30,F30)</f>
        <v>Non appliqué</v>
      </c>
      <c r="O30" s="73" t="str">
        <f t="shared" si="4"/>
        <v>Non appliqué</v>
      </c>
      <c r="P30" s="73" t="str">
        <f>IF(ISNUMBER(J30),J30*M30,J30)</f>
        <v>Non appliqué</v>
      </c>
      <c r="Q30" s="73" t="str">
        <f t="shared" si="5"/>
        <v>Non appliqué</v>
      </c>
      <c r="R30" s="77"/>
      <c r="S30" s="75"/>
      <c r="T30" s="75"/>
      <c r="U30" s="75"/>
      <c r="V30" s="76"/>
      <c r="W30" s="76"/>
      <c r="X30" s="76"/>
      <c r="Y30" s="134">
        <f t="shared" si="8"/>
        <v>21</v>
      </c>
    </row>
    <row r="31" spans="1:25" ht="25.2" x14ac:dyDescent="0.3">
      <c r="A31" s="4"/>
      <c r="B31" s="4" t="str">
        <f>A32</f>
        <v>Bar</v>
      </c>
      <c r="C31" s="5"/>
      <c r="D31" s="5"/>
      <c r="E31" s="5"/>
      <c r="F31" s="5"/>
      <c r="G31" s="9"/>
      <c r="H31" s="9"/>
      <c r="I31" s="9"/>
      <c r="J31" s="6"/>
      <c r="K31" s="5"/>
      <c r="L31" s="5"/>
      <c r="M31" s="5"/>
      <c r="N31" s="6"/>
      <c r="O31" s="6"/>
      <c r="P31" s="6"/>
      <c r="Q31" s="6"/>
      <c r="R31" s="70">
        <v>5</v>
      </c>
      <c r="S31" s="7" t="str">
        <f t="shared" si="6"/>
        <v>Non appliqué</v>
      </c>
      <c r="T31" s="7" t="str">
        <f ca="1">IFERROR(S31/SUM(S:S),S31)</f>
        <v>Non appliqué</v>
      </c>
      <c r="U31" s="7" t="str">
        <f ca="1">IFERROR(T31*O32,T31)</f>
        <v>Non appliqué</v>
      </c>
      <c r="V31" s="7" t="str">
        <f t="shared" si="7"/>
        <v>Non appliqué</v>
      </c>
      <c r="W31" s="7" t="str">
        <f ca="1">IFERROR(V31/SUM(V:V),V31)</f>
        <v>Non appliqué</v>
      </c>
      <c r="X31" s="7" t="str">
        <f ca="1">IFERROR(W31*Q32,W31)</f>
        <v>Non appliqué</v>
      </c>
    </row>
    <row r="32" spans="1:25" x14ac:dyDescent="0.3">
      <c r="A32" s="64" t="s">
        <v>694</v>
      </c>
      <c r="B32" s="64" t="s">
        <v>682</v>
      </c>
      <c r="C32" s="71">
        <f>SUMIFS(Grille!R:R,Grille!A:A,Grille_HT1!A32,Grille!C:C,Grille_HT1!B32,Grille!K:K,"Majeur")</f>
        <v>0</v>
      </c>
      <c r="D32" s="71">
        <f>SUMIFS(Grille!Q:Q,Grille!A:A,Grille_HT1!A32,Grille!C:C,Grille_HT1!B32,Grille!K:K,"Majeur")</f>
        <v>0</v>
      </c>
      <c r="E32" s="71">
        <f>SUMIFS(Grille!N:N,Grille!A:A,Grille_HT1!A32,Grille!C:C,Grille_HT1!B32,Grille!K:K,"Majeur")</f>
        <v>0</v>
      </c>
      <c r="F32" s="72" t="str">
        <f t="shared" si="0"/>
        <v>Non appliqué</v>
      </c>
      <c r="G32" s="71">
        <f>SUMIFS(Grille!R:R,Grille!A:A,Grille_HT1!A32,Grille!C:C,Grille_HT1!B32,Grille!K:K,"Mineur")</f>
        <v>0</v>
      </c>
      <c r="H32" s="71">
        <f>SUMIFS(Grille!Q:Q,Grille!A:A,Grille_HT1!A32,Grille!C:C,Grille_HT1!B32,Grille!K:K,"Mineur")</f>
        <v>0</v>
      </c>
      <c r="I32" s="71">
        <f>SUMIFS(Grille!N:N,Grille!A:A,Grille_HT1!A32,Grille!C:C,Grille_HT1!B32,Grille!K:K,"Mineur")</f>
        <v>0</v>
      </c>
      <c r="J32" s="72" t="str">
        <f t="shared" si="1"/>
        <v>Non appliqué</v>
      </c>
      <c r="K32" s="71">
        <v>50</v>
      </c>
      <c r="L32" s="73" t="str">
        <f t="shared" si="2"/>
        <v>Non appliqué</v>
      </c>
      <c r="M32" s="73" t="str">
        <f t="shared" si="3"/>
        <v>Non appliqué</v>
      </c>
      <c r="N32" s="73" t="str">
        <f>IF(ISNUMBER(F32),F32*L32,F32)</f>
        <v>Non appliqué</v>
      </c>
      <c r="O32" s="73" t="str">
        <f t="shared" si="4"/>
        <v>Non appliqué</v>
      </c>
      <c r="P32" s="73" t="str">
        <f>IF(ISNUMBER(J32),J32*M32,J32)</f>
        <v>Non appliqué</v>
      </c>
      <c r="Q32" s="73" t="str">
        <f t="shared" si="5"/>
        <v>Non appliqué</v>
      </c>
      <c r="R32" s="77"/>
      <c r="S32" s="75"/>
      <c r="T32" s="75"/>
      <c r="U32" s="75"/>
      <c r="V32" s="76"/>
      <c r="W32" s="76"/>
      <c r="X32" s="76"/>
      <c r="Y32" s="134">
        <f>Y30+1</f>
        <v>22</v>
      </c>
    </row>
    <row r="33" spans="1:25" x14ac:dyDescent="0.3">
      <c r="A33" s="64" t="s">
        <v>694</v>
      </c>
      <c r="B33" s="64" t="s">
        <v>685</v>
      </c>
      <c r="C33" s="71">
        <f>SUMIFS(Grille!R:R,Grille!A:A,Grille_HT1!A33,Grille!C:C,Grille_HT1!B33,Grille!K:K,"Majeur")</f>
        <v>0</v>
      </c>
      <c r="D33" s="71">
        <f>SUMIFS(Grille!Q:Q,Grille!A:A,Grille_HT1!A33,Grille!C:C,Grille_HT1!B33,Grille!K:K,"Majeur")</f>
        <v>0</v>
      </c>
      <c r="E33" s="71">
        <f>SUMIFS(Grille!N:N,Grille!A:A,Grille_HT1!A33,Grille!C:C,Grille_HT1!B33,Grille!K:K,"Majeur")</f>
        <v>0</v>
      </c>
      <c r="F33" s="72" t="str">
        <f t="shared" si="0"/>
        <v>Non appliqué</v>
      </c>
      <c r="G33" s="71">
        <f>SUMIFS(Grille!R:R,Grille!A:A,Grille_HT1!A33,Grille!C:C,Grille_HT1!B33,Grille!K:K,"Mineur")</f>
        <v>0</v>
      </c>
      <c r="H33" s="71">
        <f>SUMIFS(Grille!Q:Q,Grille!A:A,Grille_HT1!A33,Grille!C:C,Grille_HT1!B33,Grille!K:K,"Mineur")</f>
        <v>0</v>
      </c>
      <c r="I33" s="71">
        <f>SUMIFS(Grille!N:N,Grille!A:A,Grille_HT1!A33,Grille!C:C,Grille_HT1!B33,Grille!K:K,"Mineur")</f>
        <v>0</v>
      </c>
      <c r="J33" s="72" t="str">
        <f t="shared" si="1"/>
        <v>Non appliqué</v>
      </c>
      <c r="K33" s="71">
        <v>50</v>
      </c>
      <c r="L33" s="73" t="str">
        <f t="shared" si="2"/>
        <v>Non appliqué</v>
      </c>
      <c r="M33" s="73" t="str">
        <f t="shared" si="3"/>
        <v>Non appliqué</v>
      </c>
      <c r="N33" s="73" t="str">
        <f>IF(ISNUMBER(F33),F33*L33,F33)</f>
        <v>Non appliqué</v>
      </c>
      <c r="O33" s="73" t="str">
        <f t="shared" si="4"/>
        <v>Non appliqué</v>
      </c>
      <c r="P33" s="73" t="str">
        <f>IF(ISNUMBER(J33),J33*M33,J33)</f>
        <v>Non appliqué</v>
      </c>
      <c r="Q33" s="73" t="str">
        <f t="shared" si="5"/>
        <v>Non appliqué</v>
      </c>
      <c r="R33" s="77"/>
      <c r="S33" s="75"/>
      <c r="T33" s="75"/>
      <c r="U33" s="75"/>
      <c r="V33" s="76"/>
      <c r="W33" s="76"/>
      <c r="X33" s="76"/>
      <c r="Y33" s="134">
        <f t="shared" si="8"/>
        <v>23</v>
      </c>
    </row>
    <row r="34" spans="1:25" ht="25.2" x14ac:dyDescent="0.3">
      <c r="A34" s="4"/>
      <c r="B34" s="4" t="s">
        <v>699</v>
      </c>
      <c r="C34" s="5"/>
      <c r="D34" s="5"/>
      <c r="E34" s="5"/>
      <c r="F34" s="5"/>
      <c r="G34" s="9"/>
      <c r="H34" s="9"/>
      <c r="I34" s="9"/>
      <c r="J34" s="6"/>
      <c r="K34" s="5"/>
      <c r="L34" s="5"/>
      <c r="M34" s="5"/>
      <c r="N34" s="6"/>
      <c r="O34" s="6"/>
      <c r="P34" s="6"/>
      <c r="Q34" s="6"/>
      <c r="R34" s="70">
        <v>5</v>
      </c>
      <c r="S34" s="7" t="str">
        <f t="shared" si="6"/>
        <v>Non appliqué</v>
      </c>
      <c r="T34" s="7" t="str">
        <f ca="1">IFERROR(S34/SUM(S:S),S34)</f>
        <v>Non appliqué</v>
      </c>
      <c r="U34" s="7" t="str">
        <f ca="1">IFERROR(T34*O35,T34)</f>
        <v>Non appliqué</v>
      </c>
      <c r="V34" s="7" t="str">
        <f t="shared" si="7"/>
        <v>Non appliqué</v>
      </c>
      <c r="W34" s="7" t="str">
        <f ca="1">IFERROR(V34/SUM(V:V),V34)</f>
        <v>Non appliqué</v>
      </c>
      <c r="X34" s="7" t="str">
        <f ca="1">IFERROR(W34*Q35,W34)</f>
        <v>Non appliqué</v>
      </c>
    </row>
    <row r="35" spans="1:25" ht="25.2" x14ac:dyDescent="0.3">
      <c r="A35" s="64" t="s">
        <v>699</v>
      </c>
      <c r="B35" s="64" t="s">
        <v>701</v>
      </c>
      <c r="C35" s="71">
        <f>SUMIFS(Grille!R:R,Grille!A:A,Grille_HT1!A35,Grille!C:C,Grille_HT1!B35,Grille!K:K,"Majeur")</f>
        <v>0</v>
      </c>
      <c r="D35" s="71">
        <f>SUMIFS(Grille!Q:Q,Grille!A:A,Grille_HT1!A35,Grille!C:C,Grille_HT1!B35,Grille!K:K,"Majeur")</f>
        <v>0</v>
      </c>
      <c r="E35" s="71">
        <f>SUMIFS(Grille!N:N,Grille!A:A,Grille_HT1!A35,Grille!C:C,Grille_HT1!B35,Grille!K:K,"Majeur")</f>
        <v>0</v>
      </c>
      <c r="F35" s="72" t="str">
        <f t="shared" si="0"/>
        <v>Non appliqué</v>
      </c>
      <c r="G35" s="71">
        <f>SUMIFS(Grille!R:R,Grille!A:A,Grille_HT1!A35,Grille!C:C,Grille_HT1!B35,Grille!K:K,"Mineur")</f>
        <v>0</v>
      </c>
      <c r="H35" s="71">
        <f>SUMIFS(Grille!Q:Q,Grille!A:A,Grille_HT1!A35,Grille!C:C,Grille_HT1!B35,Grille!K:K,"Mineur")</f>
        <v>0</v>
      </c>
      <c r="I35" s="71">
        <f>SUMIFS(Grille!N:N,Grille!A:A,Grille_HT1!A35,Grille!C:C,Grille_HT1!B35,Grille!K:K,"Mineur")</f>
        <v>0</v>
      </c>
      <c r="J35" s="72" t="str">
        <f t="shared" si="1"/>
        <v>Non appliqué</v>
      </c>
      <c r="K35" s="71">
        <v>40</v>
      </c>
      <c r="L35" s="73" t="str">
        <f t="shared" si="2"/>
        <v>Non appliqué</v>
      </c>
      <c r="M35" s="73" t="str">
        <f t="shared" si="3"/>
        <v>Non appliqué</v>
      </c>
      <c r="N35" s="73" t="str">
        <f>IF(ISNUMBER(F35),F35*L35,F35)</f>
        <v>Non appliqué</v>
      </c>
      <c r="O35" s="73" t="str">
        <f t="shared" si="4"/>
        <v>Non appliqué</v>
      </c>
      <c r="P35" s="73" t="str">
        <f>IF(ISNUMBER(J35),J35*M35,J35)</f>
        <v>Non appliqué</v>
      </c>
      <c r="Q35" s="73" t="str">
        <f t="shared" si="5"/>
        <v>Non appliqué</v>
      </c>
      <c r="R35" s="77"/>
      <c r="S35" s="75"/>
      <c r="T35" s="75"/>
      <c r="U35" s="75"/>
      <c r="V35" s="76"/>
      <c r="W35" s="76"/>
      <c r="X35" s="76"/>
      <c r="Y35" s="134">
        <f>Y33+1</f>
        <v>24</v>
      </c>
    </row>
    <row r="36" spans="1:25" ht="25.2" x14ac:dyDescent="0.3">
      <c r="A36" s="64" t="s">
        <v>699</v>
      </c>
      <c r="B36" s="64" t="s">
        <v>702</v>
      </c>
      <c r="C36" s="71">
        <f>SUMIFS(Grille!R:R,Grille!A:A,Grille_HT1!A36,Grille!C:C,Grille_HT1!B36,Grille!K:K,"Majeur")</f>
        <v>0</v>
      </c>
      <c r="D36" s="71">
        <f>SUMIFS(Grille!Q:Q,Grille!A:A,Grille_HT1!A36,Grille!C:C,Grille_HT1!B36,Grille!K:K,"Majeur")</f>
        <v>0</v>
      </c>
      <c r="E36" s="71">
        <f>SUMIFS(Grille!N:N,Grille!A:A,Grille_HT1!A36,Grille!C:C,Grille_HT1!B36,Grille!K:K,"Majeur")</f>
        <v>0</v>
      </c>
      <c r="F36" s="72" t="str">
        <f t="shared" si="0"/>
        <v>Non appliqué</v>
      </c>
      <c r="G36" s="71">
        <f>SUMIFS(Grille!R:R,Grille!A:A,Grille_HT1!A36,Grille!C:C,Grille_HT1!B36,Grille!K:K,"Mineur")</f>
        <v>0</v>
      </c>
      <c r="H36" s="71">
        <f>SUMIFS(Grille!Q:Q,Grille!A:A,Grille_HT1!A36,Grille!C:C,Grille_HT1!B36,Grille!K:K,"Mineur")</f>
        <v>0</v>
      </c>
      <c r="I36" s="71">
        <f>SUMIFS(Grille!N:N,Grille!A:A,Grille_HT1!A36,Grille!C:C,Grille_HT1!B36,Grille!K:K,"Mineur")</f>
        <v>0</v>
      </c>
      <c r="J36" s="72" t="str">
        <f t="shared" si="1"/>
        <v>Non appliqué</v>
      </c>
      <c r="K36" s="71">
        <v>41</v>
      </c>
      <c r="L36" s="73" t="str">
        <f t="shared" si="2"/>
        <v>Non appliqué</v>
      </c>
      <c r="M36" s="73" t="str">
        <f t="shared" si="3"/>
        <v>Non appliqué</v>
      </c>
      <c r="N36" s="73" t="str">
        <f>IF(ISNUMBER(F36),F36*L36,F36)</f>
        <v>Non appliqué</v>
      </c>
      <c r="O36" s="73" t="str">
        <f t="shared" si="4"/>
        <v>Non appliqué</v>
      </c>
      <c r="P36" s="73" t="str">
        <f>IF(ISNUMBER(J36),J36*M36,J36)</f>
        <v>Non appliqué</v>
      </c>
      <c r="Q36" s="73" t="str">
        <f t="shared" si="5"/>
        <v>Non appliqué</v>
      </c>
      <c r="R36" s="77"/>
      <c r="S36" s="75"/>
      <c r="T36" s="75"/>
      <c r="U36" s="75"/>
      <c r="V36" s="76"/>
      <c r="W36" s="76"/>
      <c r="X36" s="76"/>
      <c r="Y36" s="134">
        <f t="shared" si="8"/>
        <v>25</v>
      </c>
    </row>
    <row r="37" spans="1:25" ht="25.2" x14ac:dyDescent="0.3">
      <c r="A37" s="64" t="s">
        <v>699</v>
      </c>
      <c r="B37" s="64" t="s">
        <v>703</v>
      </c>
      <c r="C37" s="71">
        <f>SUMIFS(Grille!R:R,Grille!A:A,Grille_HT1!A37,Grille!C:C,Grille_HT1!B37,Grille!K:K,"Majeur")</f>
        <v>0</v>
      </c>
      <c r="D37" s="71">
        <f>SUMIFS(Grille!Q:Q,Grille!A:A,Grille_HT1!A37,Grille!C:C,Grille_HT1!B37,Grille!K:K,"Majeur")</f>
        <v>0</v>
      </c>
      <c r="E37" s="71">
        <f>SUMIFS(Grille!N:N,Grille!A:A,Grille_HT1!A37,Grille!C:C,Grille_HT1!B37,Grille!K:K,"Majeur")</f>
        <v>0</v>
      </c>
      <c r="F37" s="72" t="str">
        <f t="shared" si="0"/>
        <v>Non appliqué</v>
      </c>
      <c r="G37" s="71">
        <f>SUMIFS(Grille!R:R,Grille!A:A,Grille_HT1!A37,Grille!C:C,Grille_HT1!B37,Grille!K:K,"Mineur")</f>
        <v>0</v>
      </c>
      <c r="H37" s="71">
        <f>SUMIFS(Grille!Q:Q,Grille!A:A,Grille_HT1!A37,Grille!C:C,Grille_HT1!B37,Grille!K:K,"Mineur")</f>
        <v>0</v>
      </c>
      <c r="I37" s="71">
        <f>SUMIFS(Grille!N:N,Grille!A:A,Grille_HT1!A37,Grille!C:C,Grille_HT1!B37,Grille!K:K,"Mineur")</f>
        <v>0</v>
      </c>
      <c r="J37" s="72" t="str">
        <f t="shared" si="1"/>
        <v>Non appliqué</v>
      </c>
      <c r="K37" s="71">
        <v>42</v>
      </c>
      <c r="L37" s="73" t="str">
        <f t="shared" si="2"/>
        <v>Non appliqué</v>
      </c>
      <c r="M37" s="73" t="str">
        <f t="shared" si="3"/>
        <v>Non appliqué</v>
      </c>
      <c r="N37" s="73" t="str">
        <f>IF(ISNUMBER(F37),F37*L37,F37)</f>
        <v>Non appliqué</v>
      </c>
      <c r="O37" s="73" t="str">
        <f t="shared" si="4"/>
        <v>Non appliqué</v>
      </c>
      <c r="P37" s="73" t="str">
        <f>IF(ISNUMBER(J37),J37*M37,J37)</f>
        <v>Non appliqué</v>
      </c>
      <c r="Q37" s="73" t="str">
        <f t="shared" si="5"/>
        <v>Non appliqué</v>
      </c>
      <c r="R37" s="77"/>
      <c r="S37" s="75"/>
      <c r="T37" s="75"/>
      <c r="U37" s="75"/>
      <c r="V37" s="76"/>
      <c r="W37" s="76"/>
      <c r="X37" s="76"/>
      <c r="Y37" s="134">
        <f t="shared" si="8"/>
        <v>26</v>
      </c>
    </row>
    <row r="38" spans="1:25" ht="25.2" x14ac:dyDescent="0.3">
      <c r="A38" s="4"/>
      <c r="B38" s="4" t="str">
        <f>A39</f>
        <v>Bien-être et fitness</v>
      </c>
      <c r="C38" s="5"/>
      <c r="D38" s="5"/>
      <c r="E38" s="5"/>
      <c r="F38" s="5"/>
      <c r="G38" s="9"/>
      <c r="H38" s="9"/>
      <c r="I38" s="9"/>
      <c r="J38" s="6"/>
      <c r="K38" s="5"/>
      <c r="L38" s="5"/>
      <c r="M38" s="5"/>
      <c r="N38" s="6"/>
      <c r="O38" s="6"/>
      <c r="P38" s="6"/>
      <c r="Q38" s="6"/>
      <c r="R38" s="70">
        <v>5</v>
      </c>
      <c r="S38" s="7" t="str">
        <f t="shared" si="6"/>
        <v>Non appliqué</v>
      </c>
      <c r="T38" s="7" t="str">
        <f ca="1">IFERROR(S38/SUM(S:S),S38)</f>
        <v>Non appliqué</v>
      </c>
      <c r="U38" s="7" t="str">
        <f ca="1">IFERROR(T38*O39,T38)</f>
        <v>Non appliqué</v>
      </c>
      <c r="V38" s="7" t="str">
        <f t="shared" si="7"/>
        <v>Non appliqué</v>
      </c>
      <c r="W38" s="7" t="str">
        <f ca="1">IFERROR(V38/SUM(V:V),V38)</f>
        <v>Non appliqué</v>
      </c>
      <c r="X38" s="7" t="str">
        <f ca="1">IFERROR(W38*Q39,W38)</f>
        <v>Non appliqué</v>
      </c>
    </row>
    <row r="39" spans="1:25" x14ac:dyDescent="0.3">
      <c r="A39" s="64" t="s">
        <v>704</v>
      </c>
      <c r="B39" s="64" t="s">
        <v>706</v>
      </c>
      <c r="C39" s="71">
        <f>SUMIFS(Grille!R:R,Grille!A:A,Grille_HT1!A39,Grille!C:C,Grille_HT1!B39,Grille!K:K,"Majeur")</f>
        <v>0</v>
      </c>
      <c r="D39" s="71">
        <f>SUMIFS(Grille!Q:Q,Grille!A:A,Grille_HT1!A39,Grille!C:C,Grille_HT1!B39,Grille!K:K,"Majeur")</f>
        <v>0</v>
      </c>
      <c r="E39" s="71">
        <f>SUMIFS(Grille!N:N,Grille!A:A,Grille_HT1!A39,Grille!C:C,Grille_HT1!B39,Grille!K:K,"Majeur")</f>
        <v>0</v>
      </c>
      <c r="F39" s="72" t="str">
        <f t="shared" si="0"/>
        <v>Non appliqué</v>
      </c>
      <c r="G39" s="71">
        <f>SUMIFS(Grille!R:R,Grille!A:A,Grille_HT1!A39,Grille!C:C,Grille_HT1!B39,Grille!K:K,"Mineur")</f>
        <v>0</v>
      </c>
      <c r="H39" s="71">
        <f>SUMIFS(Grille!Q:Q,Grille!A:A,Grille_HT1!A39,Grille!C:C,Grille_HT1!B39,Grille!K:K,"Mineur")</f>
        <v>0</v>
      </c>
      <c r="I39" s="71">
        <f>SUMIFS(Grille!N:N,Grille!A:A,Grille_HT1!A39,Grille!C:C,Grille_HT1!B39,Grille!K:K,"Mineur")</f>
        <v>0</v>
      </c>
      <c r="J39" s="72" t="str">
        <f t="shared" si="1"/>
        <v>Non appliqué</v>
      </c>
      <c r="K39" s="71">
        <v>10</v>
      </c>
      <c r="L39" s="73" t="str">
        <f t="shared" si="2"/>
        <v>Non appliqué</v>
      </c>
      <c r="M39" s="73" t="str">
        <f t="shared" si="3"/>
        <v>Non appliqué</v>
      </c>
      <c r="N39" s="73" t="str">
        <f t="shared" ref="N39:N46" si="9">IF(ISNUMBER(F39),F39*L39,F39)</f>
        <v>Non appliqué</v>
      </c>
      <c r="O39" s="73" t="str">
        <f t="shared" si="4"/>
        <v>Non appliqué</v>
      </c>
      <c r="P39" s="73" t="str">
        <f t="shared" ref="P39:P46" si="10">IF(ISNUMBER(J39),J39*M39,J39)</f>
        <v>Non appliqué</v>
      </c>
      <c r="Q39" s="73" t="str">
        <f t="shared" si="5"/>
        <v>Non appliqué</v>
      </c>
      <c r="R39" s="77"/>
      <c r="S39" s="75"/>
      <c r="T39" s="75"/>
      <c r="U39" s="75"/>
      <c r="V39" s="76"/>
      <c r="W39" s="76"/>
      <c r="X39" s="76"/>
      <c r="Y39" s="134">
        <f>Y37+1</f>
        <v>27</v>
      </c>
    </row>
    <row r="40" spans="1:25" x14ac:dyDescent="0.3">
      <c r="A40" s="64" t="s">
        <v>704</v>
      </c>
      <c r="B40" s="64" t="s">
        <v>707</v>
      </c>
      <c r="C40" s="71">
        <f>SUMIFS(Grille!R:R,Grille!A:A,Grille_HT1!A40,Grille!C:C,Grille_HT1!B40,Grille!K:K,"Majeur")</f>
        <v>0</v>
      </c>
      <c r="D40" s="71">
        <f>SUMIFS(Grille!Q:Q,Grille!A:A,Grille_HT1!A40,Grille!C:C,Grille_HT1!B40,Grille!K:K,"Majeur")</f>
        <v>0</v>
      </c>
      <c r="E40" s="71">
        <f>SUMIFS(Grille!N:N,Grille!A:A,Grille_HT1!A40,Grille!C:C,Grille_HT1!B40,Grille!K:K,"Majeur")</f>
        <v>0</v>
      </c>
      <c r="F40" s="72" t="str">
        <f t="shared" si="0"/>
        <v>Non appliqué</v>
      </c>
      <c r="G40" s="71">
        <f>SUMIFS(Grille!R:R,Grille!A:A,Grille_HT1!A40,Grille!C:C,Grille_HT1!B40,Grille!K:K,"Mineur")</f>
        <v>0</v>
      </c>
      <c r="H40" s="71">
        <f>SUMIFS(Grille!Q:Q,Grille!A:A,Grille_HT1!A40,Grille!C:C,Grille_HT1!B40,Grille!K:K,"Mineur")</f>
        <v>0</v>
      </c>
      <c r="I40" s="71">
        <f>SUMIFS(Grille!N:N,Grille!A:A,Grille_HT1!A40,Grille!C:C,Grille_HT1!B40,Grille!K:K,"Mineur")</f>
        <v>0</v>
      </c>
      <c r="J40" s="72" t="str">
        <f t="shared" si="1"/>
        <v>Non appliqué</v>
      </c>
      <c r="K40" s="71">
        <v>10</v>
      </c>
      <c r="L40" s="73" t="str">
        <f t="shared" si="2"/>
        <v>Non appliqué</v>
      </c>
      <c r="M40" s="73" t="str">
        <f t="shared" si="3"/>
        <v>Non appliqué</v>
      </c>
      <c r="N40" s="73" t="str">
        <f t="shared" si="9"/>
        <v>Non appliqué</v>
      </c>
      <c r="O40" s="73" t="str">
        <f t="shared" si="4"/>
        <v>Non appliqué</v>
      </c>
      <c r="P40" s="73" t="str">
        <f t="shared" si="10"/>
        <v>Non appliqué</v>
      </c>
      <c r="Q40" s="73" t="str">
        <f t="shared" si="5"/>
        <v>Non appliqué</v>
      </c>
      <c r="R40" s="77"/>
      <c r="S40" s="75"/>
      <c r="T40" s="75"/>
      <c r="U40" s="75"/>
      <c r="V40" s="76"/>
      <c r="W40" s="76"/>
      <c r="X40" s="76"/>
      <c r="Y40" s="134">
        <f t="shared" si="8"/>
        <v>28</v>
      </c>
    </row>
    <row r="41" spans="1:25" x14ac:dyDescent="0.3">
      <c r="A41" s="64" t="s">
        <v>704</v>
      </c>
      <c r="B41" s="64" t="s">
        <v>709</v>
      </c>
      <c r="C41" s="71">
        <f>SUMIFS(Grille!R:R,Grille!A:A,Grille_HT1!A41,Grille!C:C,Grille_HT1!B41,Grille!K:K,"Majeur")</f>
        <v>0</v>
      </c>
      <c r="D41" s="71">
        <f>SUMIFS(Grille!Q:Q,Grille!A:A,Grille_HT1!A41,Grille!C:C,Grille_HT1!B41,Grille!K:K,"Majeur")</f>
        <v>0</v>
      </c>
      <c r="E41" s="71">
        <f>SUMIFS(Grille!N:N,Grille!A:A,Grille_HT1!A41,Grille!C:C,Grille_HT1!B41,Grille!K:K,"Majeur")</f>
        <v>0</v>
      </c>
      <c r="F41" s="72" t="str">
        <f t="shared" si="0"/>
        <v>Non appliqué</v>
      </c>
      <c r="G41" s="71">
        <f>SUMIFS(Grille!R:R,Grille!A:A,Grille_HT1!A41,Grille!C:C,Grille_HT1!B41,Grille!K:K,"Mineur")</f>
        <v>0</v>
      </c>
      <c r="H41" s="71">
        <f>SUMIFS(Grille!Q:Q,Grille!A:A,Grille_HT1!A41,Grille!C:C,Grille_HT1!B41,Grille!K:K,"Mineur")</f>
        <v>0</v>
      </c>
      <c r="I41" s="71">
        <f>SUMIFS(Grille!N:N,Grille!A:A,Grille_HT1!A41,Grille!C:C,Grille_HT1!B41,Grille!K:K,"Mineur")</f>
        <v>0</v>
      </c>
      <c r="J41" s="72" t="str">
        <f t="shared" si="1"/>
        <v>Non appliqué</v>
      </c>
      <c r="K41" s="71">
        <v>10</v>
      </c>
      <c r="L41" s="73" t="str">
        <f t="shared" si="2"/>
        <v>Non appliqué</v>
      </c>
      <c r="M41" s="73" t="str">
        <f t="shared" si="3"/>
        <v>Non appliqué</v>
      </c>
      <c r="N41" s="73" t="str">
        <f t="shared" si="9"/>
        <v>Non appliqué</v>
      </c>
      <c r="O41" s="73" t="str">
        <f t="shared" si="4"/>
        <v>Non appliqué</v>
      </c>
      <c r="P41" s="73" t="str">
        <f t="shared" si="10"/>
        <v>Non appliqué</v>
      </c>
      <c r="Q41" s="73" t="str">
        <f t="shared" si="5"/>
        <v>Non appliqué</v>
      </c>
      <c r="R41" s="77"/>
      <c r="S41" s="75"/>
      <c r="T41" s="75"/>
      <c r="U41" s="75"/>
      <c r="V41" s="76"/>
      <c r="W41" s="76"/>
      <c r="X41" s="76"/>
      <c r="Y41" s="134">
        <f t="shared" si="8"/>
        <v>29</v>
      </c>
    </row>
    <row r="42" spans="1:25" x14ac:dyDescent="0.3">
      <c r="A42" s="64" t="s">
        <v>704</v>
      </c>
      <c r="B42" s="64" t="s">
        <v>710</v>
      </c>
      <c r="C42" s="71">
        <f>SUMIFS(Grille!R:R,Grille!A:A,Grille_HT1!A42,Grille!C:C,Grille_HT1!B42,Grille!K:K,"Majeur")</f>
        <v>0</v>
      </c>
      <c r="D42" s="71">
        <f>SUMIFS(Grille!Q:Q,Grille!A:A,Grille_HT1!A42,Grille!C:C,Grille_HT1!B42,Grille!K:K,"Majeur")</f>
        <v>0</v>
      </c>
      <c r="E42" s="71">
        <f>SUMIFS(Grille!N:N,Grille!A:A,Grille_HT1!A42,Grille!C:C,Grille_HT1!B42,Grille!K:K,"Majeur")</f>
        <v>0</v>
      </c>
      <c r="F42" s="72" t="str">
        <f t="shared" si="0"/>
        <v>Non appliqué</v>
      </c>
      <c r="G42" s="71">
        <f>SUMIFS(Grille!R:R,Grille!A:A,Grille_HT1!A42,Grille!C:C,Grille_HT1!B42,Grille!K:K,"Mineur")</f>
        <v>0</v>
      </c>
      <c r="H42" s="71">
        <f>SUMIFS(Grille!Q:Q,Grille!A:A,Grille_HT1!A42,Grille!C:C,Grille_HT1!B42,Grille!K:K,"Mineur")</f>
        <v>0</v>
      </c>
      <c r="I42" s="71">
        <f>SUMIFS(Grille!N:N,Grille!A:A,Grille_HT1!A42,Grille!C:C,Grille_HT1!B42,Grille!K:K,"Mineur")</f>
        <v>0</v>
      </c>
      <c r="J42" s="72" t="str">
        <f t="shared" si="1"/>
        <v>Non appliqué</v>
      </c>
      <c r="K42" s="71">
        <v>15</v>
      </c>
      <c r="L42" s="73" t="str">
        <f t="shared" si="2"/>
        <v>Non appliqué</v>
      </c>
      <c r="M42" s="73" t="str">
        <f t="shared" si="3"/>
        <v>Non appliqué</v>
      </c>
      <c r="N42" s="73" t="str">
        <f t="shared" si="9"/>
        <v>Non appliqué</v>
      </c>
      <c r="O42" s="73" t="str">
        <f t="shared" si="4"/>
        <v>Non appliqué</v>
      </c>
      <c r="P42" s="73" t="str">
        <f t="shared" si="10"/>
        <v>Non appliqué</v>
      </c>
      <c r="Q42" s="73" t="str">
        <f t="shared" si="5"/>
        <v>Non appliqué</v>
      </c>
      <c r="R42" s="77"/>
      <c r="S42" s="75"/>
      <c r="T42" s="75"/>
      <c r="U42" s="75"/>
      <c r="V42" s="76"/>
      <c r="W42" s="76"/>
      <c r="X42" s="76"/>
      <c r="Y42" s="134">
        <f t="shared" si="8"/>
        <v>30</v>
      </c>
    </row>
    <row r="43" spans="1:25" x14ac:dyDescent="0.3">
      <c r="A43" s="64" t="s">
        <v>704</v>
      </c>
      <c r="B43" s="64" t="s">
        <v>712</v>
      </c>
      <c r="C43" s="71">
        <f>SUMIFS(Grille!R:R,Grille!A:A,Grille_HT1!A43,Grille!C:C,Grille_HT1!B43,Grille!K:K,"Majeur")</f>
        <v>0</v>
      </c>
      <c r="D43" s="71">
        <f>SUMIFS(Grille!Q:Q,Grille!A:A,Grille_HT1!A43,Grille!C:C,Grille_HT1!B43,Grille!K:K,"Majeur")</f>
        <v>0</v>
      </c>
      <c r="E43" s="71">
        <f>SUMIFS(Grille!N:N,Grille!A:A,Grille_HT1!A43,Grille!C:C,Grille_HT1!B43,Grille!K:K,"Majeur")</f>
        <v>0</v>
      </c>
      <c r="F43" s="72" t="str">
        <f t="shared" si="0"/>
        <v>Non appliqué</v>
      </c>
      <c r="G43" s="71">
        <f>SUMIFS(Grille!R:R,Grille!A:A,Grille_HT1!A43,Grille!C:C,Grille_HT1!B43,Grille!K:K,"Mineur")</f>
        <v>0</v>
      </c>
      <c r="H43" s="71">
        <f>SUMIFS(Grille!Q:Q,Grille!A:A,Grille_HT1!A43,Grille!C:C,Grille_HT1!B43,Grille!K:K,"Mineur")</f>
        <v>0</v>
      </c>
      <c r="I43" s="71">
        <f>SUMIFS(Grille!N:N,Grille!A:A,Grille_HT1!A43,Grille!C:C,Grille_HT1!B43,Grille!K:K,"Mineur")</f>
        <v>0</v>
      </c>
      <c r="J43" s="72" t="str">
        <f t="shared" si="1"/>
        <v>Non appliqué</v>
      </c>
      <c r="K43" s="71">
        <v>5</v>
      </c>
      <c r="L43" s="73" t="str">
        <f t="shared" si="2"/>
        <v>Non appliqué</v>
      </c>
      <c r="M43" s="73" t="str">
        <f t="shared" si="3"/>
        <v>Non appliqué</v>
      </c>
      <c r="N43" s="73" t="str">
        <f t="shared" si="9"/>
        <v>Non appliqué</v>
      </c>
      <c r="O43" s="73" t="str">
        <f t="shared" si="4"/>
        <v>Non appliqué</v>
      </c>
      <c r="P43" s="73" t="str">
        <f t="shared" si="10"/>
        <v>Non appliqué</v>
      </c>
      <c r="Q43" s="73" t="str">
        <f t="shared" si="5"/>
        <v>Non appliqué</v>
      </c>
      <c r="R43" s="77"/>
      <c r="S43" s="75"/>
      <c r="T43" s="75"/>
      <c r="U43" s="75"/>
      <c r="V43" s="76"/>
      <c r="W43" s="76"/>
      <c r="X43" s="76"/>
      <c r="Y43" s="134">
        <f t="shared" si="8"/>
        <v>31</v>
      </c>
    </row>
    <row r="44" spans="1:25" x14ac:dyDescent="0.3">
      <c r="A44" s="64" t="s">
        <v>704</v>
      </c>
      <c r="B44" s="64" t="s">
        <v>715</v>
      </c>
      <c r="C44" s="71">
        <f>SUMIFS(Grille!R:R,Grille!A:A,Grille_HT1!A44,Grille!C:C,Grille_HT1!B44,Grille!K:K,"Majeur")</f>
        <v>0</v>
      </c>
      <c r="D44" s="71">
        <f>SUMIFS(Grille!Q:Q,Grille!A:A,Grille_HT1!A44,Grille!C:C,Grille_HT1!B44,Grille!K:K,"Majeur")</f>
        <v>0</v>
      </c>
      <c r="E44" s="71">
        <f>SUMIFS(Grille!N:N,Grille!A:A,Grille_HT1!A44,Grille!C:C,Grille_HT1!B44,Grille!K:K,"Majeur")</f>
        <v>0</v>
      </c>
      <c r="F44" s="72" t="str">
        <f t="shared" si="0"/>
        <v>Non appliqué</v>
      </c>
      <c r="G44" s="71">
        <f>SUMIFS(Grille!R:R,Grille!A:A,Grille_HT1!A44,Grille!C:C,Grille_HT1!B44,Grille!K:K,"Mineur")</f>
        <v>0</v>
      </c>
      <c r="H44" s="71">
        <f>SUMIFS(Grille!Q:Q,Grille!A:A,Grille_HT1!A44,Grille!C:C,Grille_HT1!B44,Grille!K:K,"Mineur")</f>
        <v>0</v>
      </c>
      <c r="I44" s="71">
        <f>SUMIFS(Grille!N:N,Grille!A:A,Grille_HT1!A44,Grille!C:C,Grille_HT1!B44,Grille!K:K,"Mineur")</f>
        <v>0</v>
      </c>
      <c r="J44" s="72" t="str">
        <f t="shared" si="1"/>
        <v>Non appliqué</v>
      </c>
      <c r="K44" s="71">
        <v>10</v>
      </c>
      <c r="L44" s="73" t="str">
        <f t="shared" si="2"/>
        <v>Non appliqué</v>
      </c>
      <c r="M44" s="73" t="str">
        <f t="shared" si="3"/>
        <v>Non appliqué</v>
      </c>
      <c r="N44" s="73" t="str">
        <f t="shared" si="9"/>
        <v>Non appliqué</v>
      </c>
      <c r="O44" s="73" t="str">
        <f t="shared" si="4"/>
        <v>Non appliqué</v>
      </c>
      <c r="P44" s="73" t="str">
        <f t="shared" si="10"/>
        <v>Non appliqué</v>
      </c>
      <c r="Q44" s="73" t="str">
        <f t="shared" si="5"/>
        <v>Non appliqué</v>
      </c>
      <c r="R44" s="77"/>
      <c r="S44" s="75"/>
      <c r="T44" s="75"/>
      <c r="U44" s="75"/>
      <c r="V44" s="76"/>
      <c r="W44" s="76"/>
      <c r="X44" s="76"/>
      <c r="Y44" s="134">
        <f t="shared" si="8"/>
        <v>32</v>
      </c>
    </row>
    <row r="45" spans="1:25" x14ac:dyDescent="0.3">
      <c r="A45" s="64" t="s">
        <v>704</v>
      </c>
      <c r="B45" s="64" t="s">
        <v>717</v>
      </c>
      <c r="C45" s="71">
        <f>SUMIFS(Grille!R:R,Grille!A:A,Grille_HT1!A45,Grille!C:C,Grille_HT1!B45,Grille!K:K,"Majeur")</f>
        <v>0</v>
      </c>
      <c r="D45" s="71">
        <f>SUMIFS(Grille!Q:Q,Grille!A:A,Grille_HT1!A45,Grille!C:C,Grille_HT1!B45,Grille!K:K,"Majeur")</f>
        <v>0</v>
      </c>
      <c r="E45" s="71">
        <f>SUMIFS(Grille!N:N,Grille!A:A,Grille_HT1!A45,Grille!C:C,Grille_HT1!B45,Grille!K:K,"Majeur")</f>
        <v>0</v>
      </c>
      <c r="F45" s="72" t="str">
        <f t="shared" si="0"/>
        <v>Non appliqué</v>
      </c>
      <c r="G45" s="71">
        <f>SUMIFS(Grille!R:R,Grille!A:A,Grille_HT1!A45,Grille!C:C,Grille_HT1!B45,Grille!K:K,"Mineur")</f>
        <v>0</v>
      </c>
      <c r="H45" s="71">
        <f>SUMIFS(Grille!Q:Q,Grille!A:A,Grille_HT1!A45,Grille!C:C,Grille_HT1!B45,Grille!K:K,"Mineur")</f>
        <v>0</v>
      </c>
      <c r="I45" s="71">
        <f>SUMIFS(Grille!N:N,Grille!A:A,Grille_HT1!A45,Grille!C:C,Grille_HT1!B45,Grille!K:K,"Mineur")</f>
        <v>0</v>
      </c>
      <c r="J45" s="72" t="str">
        <f t="shared" si="1"/>
        <v>Non appliqué</v>
      </c>
      <c r="K45" s="71">
        <v>25</v>
      </c>
      <c r="L45" s="73" t="str">
        <f t="shared" si="2"/>
        <v>Non appliqué</v>
      </c>
      <c r="M45" s="73" t="str">
        <f t="shared" si="3"/>
        <v>Non appliqué</v>
      </c>
      <c r="N45" s="73" t="str">
        <f t="shared" si="9"/>
        <v>Non appliqué</v>
      </c>
      <c r="O45" s="73" t="str">
        <f t="shared" si="4"/>
        <v>Non appliqué</v>
      </c>
      <c r="P45" s="73" t="str">
        <f t="shared" si="10"/>
        <v>Non appliqué</v>
      </c>
      <c r="Q45" s="73" t="str">
        <f t="shared" si="5"/>
        <v>Non appliqué</v>
      </c>
      <c r="R45" s="77"/>
      <c r="S45" s="75"/>
      <c r="T45" s="75"/>
      <c r="U45" s="75"/>
      <c r="V45" s="76"/>
      <c r="W45" s="76"/>
      <c r="X45" s="76"/>
      <c r="Y45" s="134">
        <f t="shared" si="8"/>
        <v>33</v>
      </c>
    </row>
    <row r="46" spans="1:25" x14ac:dyDescent="0.3">
      <c r="A46" s="64" t="s">
        <v>704</v>
      </c>
      <c r="B46" s="64" t="s">
        <v>718</v>
      </c>
      <c r="C46" s="71">
        <f>SUMIFS(Grille!R:R,Grille!A:A,Grille_HT1!A46,Grille!C:C,Grille_HT1!B46,Grille!K:K,"Majeur")</f>
        <v>0</v>
      </c>
      <c r="D46" s="71">
        <f>SUMIFS(Grille!Q:Q,Grille!A:A,Grille_HT1!A46,Grille!C:C,Grille_HT1!B46,Grille!K:K,"Majeur")</f>
        <v>0</v>
      </c>
      <c r="E46" s="71">
        <f>SUMIFS(Grille!N:N,Grille!A:A,Grille_HT1!A46,Grille!C:C,Grille_HT1!B46,Grille!K:K,"Majeur")</f>
        <v>0</v>
      </c>
      <c r="F46" s="72" t="str">
        <f t="shared" si="0"/>
        <v>Non appliqué</v>
      </c>
      <c r="G46" s="71">
        <f>SUMIFS(Grille!R:R,Grille!A:A,Grille_HT1!A46,Grille!C:C,Grille_HT1!B46,Grille!K:K,"Mineur")</f>
        <v>0</v>
      </c>
      <c r="H46" s="71">
        <f>SUMIFS(Grille!Q:Q,Grille!A:A,Grille_HT1!A46,Grille!C:C,Grille_HT1!B46,Grille!K:K,"Mineur")</f>
        <v>0</v>
      </c>
      <c r="I46" s="71">
        <f>SUMIFS(Grille!N:N,Grille!A:A,Grille_HT1!A46,Grille!C:C,Grille_HT1!B46,Grille!K:K,"Mineur")</f>
        <v>0</v>
      </c>
      <c r="J46" s="72" t="str">
        <f t="shared" si="1"/>
        <v>Non appliqué</v>
      </c>
      <c r="K46" s="71">
        <v>15</v>
      </c>
      <c r="L46" s="73" t="str">
        <f t="shared" si="2"/>
        <v>Non appliqué</v>
      </c>
      <c r="M46" s="73" t="str">
        <f t="shared" si="3"/>
        <v>Non appliqué</v>
      </c>
      <c r="N46" s="73" t="str">
        <f t="shared" si="9"/>
        <v>Non appliqué</v>
      </c>
      <c r="O46" s="73" t="str">
        <f t="shared" si="4"/>
        <v>Non appliqué</v>
      </c>
      <c r="P46" s="73" t="str">
        <f t="shared" si="10"/>
        <v>Non appliqué</v>
      </c>
      <c r="Q46" s="73" t="str">
        <f t="shared" si="5"/>
        <v>Non appliqué</v>
      </c>
      <c r="R46" s="77"/>
      <c r="S46" s="75"/>
      <c r="T46" s="75"/>
      <c r="U46" s="75"/>
      <c r="V46" s="76"/>
      <c r="W46" s="76"/>
      <c r="X46" s="76"/>
      <c r="Y46" s="134">
        <f t="shared" si="8"/>
        <v>34</v>
      </c>
    </row>
    <row r="47" spans="1:25" ht="25.2" x14ac:dyDescent="0.3">
      <c r="A47" s="4"/>
      <c r="B47" s="4" t="str">
        <f>A48</f>
        <v>Piscine extérieure</v>
      </c>
      <c r="C47" s="5"/>
      <c r="D47" s="5"/>
      <c r="E47" s="5"/>
      <c r="F47" s="5"/>
      <c r="G47" s="9"/>
      <c r="H47" s="9"/>
      <c r="I47" s="9"/>
      <c r="J47" s="6"/>
      <c r="K47" s="5"/>
      <c r="L47" s="5"/>
      <c r="M47" s="5"/>
      <c r="N47" s="6"/>
      <c r="O47" s="6"/>
      <c r="P47" s="6"/>
      <c r="Q47" s="6"/>
      <c r="R47" s="70">
        <v>5</v>
      </c>
      <c r="S47" s="7" t="str">
        <f t="shared" si="6"/>
        <v>Non appliqué</v>
      </c>
      <c r="T47" s="7" t="str">
        <f ca="1">IFERROR(S47/SUM(S:S),S47)</f>
        <v>Non appliqué</v>
      </c>
      <c r="U47" s="7" t="str">
        <f ca="1">IFERROR(T47*O48,T47)</f>
        <v>Non appliqué</v>
      </c>
      <c r="V47" s="7" t="str">
        <f t="shared" si="7"/>
        <v>Non appliqué</v>
      </c>
      <c r="W47" s="7" t="str">
        <f ca="1">IFERROR(V47/SUM(V:V),V47)</f>
        <v>Non appliqué</v>
      </c>
      <c r="X47" s="7" t="str">
        <f ca="1">IFERROR(W47*Q48,W47)</f>
        <v>Non appliqué</v>
      </c>
    </row>
    <row r="48" spans="1:25" x14ac:dyDescent="0.3">
      <c r="A48" s="64" t="s">
        <v>21</v>
      </c>
      <c r="B48" s="64" t="s">
        <v>682</v>
      </c>
      <c r="C48" s="71">
        <f>SUMIFS(Grille!R:R,Grille!A:A,Grille_HT1!A48,Grille!C:C,Grille_HT1!B48,Grille!K:K,"Majeur")</f>
        <v>0</v>
      </c>
      <c r="D48" s="71">
        <f>SUMIFS(Grille!Q:Q,Grille!A:A,Grille_HT1!A48,Grille!C:C,Grille_HT1!B48,Grille!K:K,"Majeur")</f>
        <v>0</v>
      </c>
      <c r="E48" s="71">
        <f>SUMIFS(Grille!N:N,Grille!A:A,Grille_HT1!A48,Grille!C:C,Grille_HT1!B48,Grille!K:K,"Majeur")</f>
        <v>0</v>
      </c>
      <c r="F48" s="72" t="str">
        <f t="shared" si="0"/>
        <v>Non appliqué</v>
      </c>
      <c r="G48" s="71">
        <f>SUMIFS(Grille!R:R,Grille!A:A,Grille_HT1!A48,Grille!C:C,Grille_HT1!B48,Grille!K:K,"Mineur")</f>
        <v>0</v>
      </c>
      <c r="H48" s="71">
        <f>SUMIFS(Grille!Q:Q,Grille!A:A,Grille_HT1!A48,Grille!C:C,Grille_HT1!B48,Grille!K:K,"Mineur")</f>
        <v>0</v>
      </c>
      <c r="I48" s="71">
        <f>SUMIFS(Grille!N:N,Grille!A:A,Grille_HT1!A48,Grille!C:C,Grille_HT1!B48,Grille!K:K,"Mineur")</f>
        <v>0</v>
      </c>
      <c r="J48" s="72" t="str">
        <f t="shared" si="1"/>
        <v>Non appliqué</v>
      </c>
      <c r="K48" s="71">
        <v>30</v>
      </c>
      <c r="L48" s="73" t="str">
        <f t="shared" si="2"/>
        <v>Non appliqué</v>
      </c>
      <c r="M48" s="73" t="str">
        <f t="shared" si="3"/>
        <v>Non appliqué</v>
      </c>
      <c r="N48" s="73" t="str">
        <f>IF(ISNUMBER(F48),F48*L48,F48)</f>
        <v>Non appliqué</v>
      </c>
      <c r="O48" s="73" t="str">
        <f t="shared" si="4"/>
        <v>Non appliqué</v>
      </c>
      <c r="P48" s="73" t="str">
        <f>IF(ISNUMBER(J48),J48*M48,J48)</f>
        <v>Non appliqué</v>
      </c>
      <c r="Q48" s="73" t="str">
        <f t="shared" si="5"/>
        <v>Non appliqué</v>
      </c>
      <c r="R48" s="77"/>
      <c r="S48" s="75"/>
      <c r="T48" s="75"/>
      <c r="U48" s="75"/>
      <c r="V48" s="76"/>
      <c r="W48" s="76"/>
      <c r="X48" s="76"/>
      <c r="Y48" s="134">
        <f>Y46+1</f>
        <v>35</v>
      </c>
    </row>
    <row r="49" spans="1:25" x14ac:dyDescent="0.3">
      <c r="A49" s="64" t="s">
        <v>21</v>
      </c>
      <c r="B49" s="64" t="s">
        <v>720</v>
      </c>
      <c r="C49" s="71">
        <f>SUMIFS(Grille!R:R,Grille!A:A,Grille_HT1!A49,Grille!C:C,Grille_HT1!B49,Grille!K:K,"Majeur")</f>
        <v>0</v>
      </c>
      <c r="D49" s="71">
        <f>SUMIFS(Grille!Q:Q,Grille!A:A,Grille_HT1!A49,Grille!C:C,Grille_HT1!B49,Grille!K:K,"Majeur")</f>
        <v>0</v>
      </c>
      <c r="E49" s="71">
        <f>SUMIFS(Grille!N:N,Grille!A:A,Grille_HT1!A49,Grille!C:C,Grille_HT1!B49,Grille!K:K,"Majeur")</f>
        <v>0</v>
      </c>
      <c r="F49" s="72" t="str">
        <f t="shared" si="0"/>
        <v>Non appliqué</v>
      </c>
      <c r="G49" s="71">
        <f>SUMIFS(Grille!R:R,Grille!A:A,Grille_HT1!A49,Grille!C:C,Grille_HT1!B49,Grille!K:K,"Mineur")</f>
        <v>0</v>
      </c>
      <c r="H49" s="71">
        <f>SUMIFS(Grille!Q:Q,Grille!A:A,Grille_HT1!A49,Grille!C:C,Grille_HT1!B49,Grille!K:K,"Mineur")</f>
        <v>0</v>
      </c>
      <c r="I49" s="71">
        <f>SUMIFS(Grille!N:N,Grille!A:A,Grille_HT1!A49,Grille!C:C,Grille_HT1!B49,Grille!K:K,"Mineur")</f>
        <v>0</v>
      </c>
      <c r="J49" s="72" t="str">
        <f t="shared" si="1"/>
        <v>Non appliqué</v>
      </c>
      <c r="K49" s="71">
        <v>25</v>
      </c>
      <c r="L49" s="73" t="str">
        <f t="shared" si="2"/>
        <v>Non appliqué</v>
      </c>
      <c r="M49" s="73" t="str">
        <f t="shared" si="3"/>
        <v>Non appliqué</v>
      </c>
      <c r="N49" s="73" t="str">
        <f>IF(ISNUMBER(F49),F49*L49,F49)</f>
        <v>Non appliqué</v>
      </c>
      <c r="O49" s="73" t="str">
        <f t="shared" si="4"/>
        <v>Non appliqué</v>
      </c>
      <c r="P49" s="73" t="str">
        <f>IF(ISNUMBER(J49),J49*M49,J49)</f>
        <v>Non appliqué</v>
      </c>
      <c r="Q49" s="73" t="str">
        <f t="shared" si="5"/>
        <v>Non appliqué</v>
      </c>
      <c r="R49" s="77"/>
      <c r="S49" s="75"/>
      <c r="T49" s="75"/>
      <c r="U49" s="75"/>
      <c r="V49" s="76"/>
      <c r="W49" s="76"/>
      <c r="X49" s="76"/>
      <c r="Y49" s="134">
        <f t="shared" si="8"/>
        <v>36</v>
      </c>
    </row>
    <row r="50" spans="1:25" x14ac:dyDescent="0.3">
      <c r="A50" s="64" t="s">
        <v>21</v>
      </c>
      <c r="B50" s="64" t="s">
        <v>722</v>
      </c>
      <c r="C50" s="71">
        <f>SUMIFS(Grille!R:R,Grille!A:A,Grille_HT1!A50,Grille!C:C,Grille_HT1!B50,Grille!K:K,"Majeur")</f>
        <v>0</v>
      </c>
      <c r="D50" s="71">
        <f>SUMIFS(Grille!Q:Q,Grille!A:A,Grille_HT1!A50,Grille!C:C,Grille_HT1!B50,Grille!K:K,"Majeur")</f>
        <v>0</v>
      </c>
      <c r="E50" s="71">
        <f>SUMIFS(Grille!N:N,Grille!A:A,Grille_HT1!A50,Grille!C:C,Grille_HT1!B50,Grille!K:K,"Majeur")</f>
        <v>0</v>
      </c>
      <c r="F50" s="72" t="str">
        <f t="shared" si="0"/>
        <v>Non appliqué</v>
      </c>
      <c r="G50" s="71">
        <f>SUMIFS(Grille!R:R,Grille!A:A,Grille_HT1!A50,Grille!C:C,Grille_HT1!B50,Grille!K:K,"Mineur")</f>
        <v>0</v>
      </c>
      <c r="H50" s="71">
        <f>SUMIFS(Grille!Q:Q,Grille!A:A,Grille_HT1!A50,Grille!C:C,Grille_HT1!B50,Grille!K:K,"Mineur")</f>
        <v>0</v>
      </c>
      <c r="I50" s="71">
        <f>SUMIFS(Grille!N:N,Grille!A:A,Grille_HT1!A50,Grille!C:C,Grille_HT1!B50,Grille!K:K,"Mineur")</f>
        <v>0</v>
      </c>
      <c r="J50" s="72" t="str">
        <f t="shared" si="1"/>
        <v>Non appliqué</v>
      </c>
      <c r="K50" s="71">
        <v>25</v>
      </c>
      <c r="L50" s="73" t="str">
        <f t="shared" si="2"/>
        <v>Non appliqué</v>
      </c>
      <c r="M50" s="73" t="str">
        <f t="shared" si="3"/>
        <v>Non appliqué</v>
      </c>
      <c r="N50" s="73" t="str">
        <f>IF(ISNUMBER(F50),F50*L50,F50)</f>
        <v>Non appliqué</v>
      </c>
      <c r="O50" s="73" t="str">
        <f t="shared" si="4"/>
        <v>Non appliqué</v>
      </c>
      <c r="P50" s="73" t="str">
        <f>IF(ISNUMBER(J50),J50*M50,J50)</f>
        <v>Non appliqué</v>
      </c>
      <c r="Q50" s="73" t="str">
        <f t="shared" si="5"/>
        <v>Non appliqué</v>
      </c>
      <c r="R50" s="77"/>
      <c r="S50" s="75"/>
      <c r="T50" s="75"/>
      <c r="U50" s="75"/>
      <c r="V50" s="76"/>
      <c r="W50" s="76"/>
      <c r="X50" s="76"/>
      <c r="Y50" s="134">
        <f t="shared" si="8"/>
        <v>37</v>
      </c>
    </row>
    <row r="51" spans="1:25" x14ac:dyDescent="0.3">
      <c r="A51" s="64" t="s">
        <v>21</v>
      </c>
      <c r="B51" s="64" t="s">
        <v>724</v>
      </c>
      <c r="C51" s="71">
        <f>SUMIFS(Grille!R:R,Grille!A:A,Grille_HT1!A51,Grille!C:C,Grille_HT1!B51,Grille!K:K,"Majeur")</f>
        <v>0</v>
      </c>
      <c r="D51" s="71">
        <f>SUMIFS(Grille!Q:Q,Grille!A:A,Grille_HT1!A51,Grille!C:C,Grille_HT1!B51,Grille!K:K,"Majeur")</f>
        <v>0</v>
      </c>
      <c r="E51" s="71">
        <f>SUMIFS(Grille!N:N,Grille!A:A,Grille_HT1!A51,Grille!C:C,Grille_HT1!B51,Grille!K:K,"Majeur")</f>
        <v>0</v>
      </c>
      <c r="F51" s="72" t="str">
        <f t="shared" si="0"/>
        <v>Non appliqué</v>
      </c>
      <c r="G51" s="71">
        <f>SUMIFS(Grille!R:R,Grille!A:A,Grille_HT1!A51,Grille!C:C,Grille_HT1!B51,Grille!K:K,"Mineur")</f>
        <v>0</v>
      </c>
      <c r="H51" s="71">
        <f>SUMIFS(Grille!Q:Q,Grille!A:A,Grille_HT1!A51,Grille!C:C,Grille_HT1!B51,Grille!K:K,"Mineur")</f>
        <v>0</v>
      </c>
      <c r="I51" s="71">
        <f>SUMIFS(Grille!N:N,Grille!A:A,Grille_HT1!A51,Grille!C:C,Grille_HT1!B51,Grille!K:K,"Mineur")</f>
        <v>0</v>
      </c>
      <c r="J51" s="72" t="str">
        <f t="shared" si="1"/>
        <v>Non appliqué</v>
      </c>
      <c r="K51" s="71">
        <v>10</v>
      </c>
      <c r="L51" s="73" t="str">
        <f t="shared" si="2"/>
        <v>Non appliqué</v>
      </c>
      <c r="M51" s="73" t="str">
        <f t="shared" si="3"/>
        <v>Non appliqué</v>
      </c>
      <c r="N51" s="73" t="str">
        <f>IF(ISNUMBER(F51),F51*L51,F51)</f>
        <v>Non appliqué</v>
      </c>
      <c r="O51" s="73" t="str">
        <f t="shared" si="4"/>
        <v>Non appliqué</v>
      </c>
      <c r="P51" s="73" t="str">
        <f>IF(ISNUMBER(J51),J51*M51,J51)</f>
        <v>Non appliqué</v>
      </c>
      <c r="Q51" s="73" t="str">
        <f t="shared" si="5"/>
        <v>Non appliqué</v>
      </c>
      <c r="R51" s="77"/>
      <c r="S51" s="75"/>
      <c r="T51" s="75"/>
      <c r="U51" s="75"/>
      <c r="V51" s="76"/>
      <c r="W51" s="76"/>
      <c r="X51" s="76"/>
      <c r="Y51" s="134">
        <f t="shared" si="8"/>
        <v>38</v>
      </c>
    </row>
    <row r="52" spans="1:25" x14ac:dyDescent="0.3">
      <c r="A52" s="64" t="s">
        <v>21</v>
      </c>
      <c r="B52" s="64" t="s">
        <v>725</v>
      </c>
      <c r="C52" s="71">
        <f>SUMIFS(Grille!R:R,Grille!A:A,Grille_HT1!A52,Grille!C:C,Grille_HT1!B52,Grille!K:K,"Majeur")</f>
        <v>0</v>
      </c>
      <c r="D52" s="71">
        <f>SUMIFS(Grille!Q:Q,Grille!A:A,Grille_HT1!A52,Grille!C:C,Grille_HT1!B52,Grille!K:K,"Majeur")</f>
        <v>0</v>
      </c>
      <c r="E52" s="71">
        <f>SUMIFS(Grille!N:N,Grille!A:A,Grille_HT1!A52,Grille!C:C,Grille_HT1!B52,Grille!K:K,"Majeur")</f>
        <v>0</v>
      </c>
      <c r="F52" s="72" t="str">
        <f t="shared" si="0"/>
        <v>Non appliqué</v>
      </c>
      <c r="G52" s="71">
        <f>SUMIFS(Grille!R:R,Grille!A:A,Grille_HT1!A52,Grille!C:C,Grille_HT1!B52,Grille!K:K,"Mineur")</f>
        <v>0</v>
      </c>
      <c r="H52" s="71">
        <f>SUMIFS(Grille!Q:Q,Grille!A:A,Grille_HT1!A52,Grille!C:C,Grille_HT1!B52,Grille!K:K,"Mineur")</f>
        <v>0</v>
      </c>
      <c r="I52" s="71">
        <f>SUMIFS(Grille!N:N,Grille!A:A,Grille_HT1!A52,Grille!C:C,Grille_HT1!B52,Grille!K:K,"Mineur")</f>
        <v>0</v>
      </c>
      <c r="J52" s="72" t="str">
        <f t="shared" si="1"/>
        <v>Non appliqué</v>
      </c>
      <c r="K52" s="71">
        <v>10</v>
      </c>
      <c r="L52" s="73" t="str">
        <f t="shared" si="2"/>
        <v>Non appliqué</v>
      </c>
      <c r="M52" s="73" t="str">
        <f t="shared" si="3"/>
        <v>Non appliqué</v>
      </c>
      <c r="N52" s="73" t="str">
        <f>IF(ISNUMBER(F52),F52*L52,F52)</f>
        <v>Non appliqué</v>
      </c>
      <c r="O52" s="73" t="str">
        <f t="shared" si="4"/>
        <v>Non appliqué</v>
      </c>
      <c r="P52" s="73" t="str">
        <f>IF(ISNUMBER(J52),J52*M52,J52)</f>
        <v>Non appliqué</v>
      </c>
      <c r="Q52" s="73" t="str">
        <f t="shared" si="5"/>
        <v>Non appliqué</v>
      </c>
      <c r="R52" s="77"/>
      <c r="S52" s="75"/>
      <c r="T52" s="75"/>
      <c r="U52" s="75"/>
      <c r="V52" s="76"/>
      <c r="W52" s="76"/>
      <c r="X52" s="76"/>
      <c r="Y52" s="134">
        <f t="shared" si="8"/>
        <v>39</v>
      </c>
    </row>
    <row r="53" spans="1:25" ht="25.2" x14ac:dyDescent="0.3">
      <c r="A53" s="4"/>
      <c r="B53" s="4" t="s">
        <v>729</v>
      </c>
      <c r="C53" s="5"/>
      <c r="D53" s="5"/>
      <c r="E53" s="5"/>
      <c r="F53" s="5"/>
      <c r="G53" s="9"/>
      <c r="H53" s="9"/>
      <c r="I53" s="9"/>
      <c r="J53" s="6"/>
      <c r="K53" s="5"/>
      <c r="L53" s="5"/>
      <c r="M53" s="5"/>
      <c r="N53" s="6"/>
      <c r="O53" s="6"/>
      <c r="P53" s="6"/>
      <c r="Q53" s="6"/>
      <c r="R53" s="70">
        <v>2</v>
      </c>
      <c r="S53" s="7" t="str">
        <f t="shared" si="6"/>
        <v>Non appliqué</v>
      </c>
      <c r="T53" s="7" t="str">
        <f ca="1">IFERROR(S53/SUM(S:S),S53)</f>
        <v>Non appliqué</v>
      </c>
      <c r="U53" s="7" t="str">
        <f ca="1">IFERROR(T53*#REF!,T53)</f>
        <v>Non appliqué</v>
      </c>
      <c r="V53" s="7" t="str">
        <f t="shared" si="7"/>
        <v>Non appliqué</v>
      </c>
      <c r="W53" s="7" t="str">
        <f ca="1">IFERROR(V53/SUM(V:V),V53)</f>
        <v>Non appliqué</v>
      </c>
      <c r="X53" s="7" t="str">
        <f ca="1">IFERROR(W53*#REF!,W53)</f>
        <v>Non appliqué</v>
      </c>
    </row>
    <row r="54" spans="1:25" x14ac:dyDescent="0.3">
      <c r="A54" s="64" t="s">
        <v>729</v>
      </c>
      <c r="B54" s="64" t="s">
        <v>729</v>
      </c>
      <c r="C54" s="71">
        <f>SUMIFS(Grille!R:R,Grille!A:A,Grille_HT1!A54,Grille!C:C,Grille_HT1!B54,Grille!K:K,"Majeur")</f>
        <v>0</v>
      </c>
      <c r="D54" s="71">
        <f>SUMIFS(Grille!Q:Q,Grille!A:A,Grille_HT1!A54,Grille!C:C,Grille_HT1!B54,Grille!K:K,"Majeur")</f>
        <v>0</v>
      </c>
      <c r="E54" s="71">
        <f>SUMIFS(Grille!N:N,Grille!A:A,Grille_HT1!A54,Grille!C:C,Grille_HT1!B54,Grille!K:K,"Majeur")</f>
        <v>0</v>
      </c>
      <c r="F54" s="72" t="str">
        <f t="shared" si="0"/>
        <v>Non appliqué</v>
      </c>
      <c r="G54" s="71">
        <f>SUMIFS(Grille!R:R,Grille!A:A,Grille_HT1!A54,Grille!C:C,Grille_HT1!B54,Grille!K:K,"Mineur")</f>
        <v>0</v>
      </c>
      <c r="H54" s="71">
        <f>SUMIFS(Grille!Q:Q,Grille!A:A,Grille_HT1!A54,Grille!C:C,Grille_HT1!B54,Grille!K:K,"Mineur")</f>
        <v>0</v>
      </c>
      <c r="I54" s="71">
        <f>SUMIFS(Grille!N:N,Grille!A:A,Grille_HT1!A54,Grille!C:C,Grille_HT1!B54,Grille!K:K,"Mineur")</f>
        <v>0</v>
      </c>
      <c r="J54" s="72" t="str">
        <f t="shared" si="1"/>
        <v>Non appliqué</v>
      </c>
      <c r="K54" s="71">
        <v>100</v>
      </c>
      <c r="L54" s="73" t="str">
        <f t="shared" si="2"/>
        <v>Non appliqué</v>
      </c>
      <c r="M54" s="73" t="str">
        <f t="shared" si="3"/>
        <v>Non appliqué</v>
      </c>
      <c r="N54" s="73" t="str">
        <f>IF(ISNUMBER(F54),F54*L54,F54)</f>
        <v>Non appliqué</v>
      </c>
      <c r="O54" s="73" t="str">
        <f t="shared" si="4"/>
        <v>Non appliqué</v>
      </c>
      <c r="P54" s="73" t="str">
        <f>IF(ISNUMBER(J54),J54*M54,J54)</f>
        <v>Non appliqué</v>
      </c>
      <c r="Q54" s="73" t="str">
        <f t="shared" si="5"/>
        <v>Non appliqué</v>
      </c>
      <c r="R54" s="77"/>
      <c r="S54" s="75"/>
      <c r="T54" s="75"/>
      <c r="U54" s="75"/>
      <c r="V54" s="76"/>
      <c r="W54" s="76"/>
      <c r="X54" s="76"/>
      <c r="Y54" s="134">
        <f>Y52+1</f>
        <v>40</v>
      </c>
    </row>
    <row r="55" spans="1:25" ht="25.2" x14ac:dyDescent="0.3">
      <c r="A55" s="4"/>
      <c r="B55" s="4" t="str">
        <f>A56</f>
        <v>Autres animations</v>
      </c>
      <c r="C55" s="5"/>
      <c r="D55" s="5"/>
      <c r="E55" s="5"/>
      <c r="F55" s="5"/>
      <c r="G55" s="9"/>
      <c r="H55" s="9"/>
      <c r="I55" s="9"/>
      <c r="J55" s="6"/>
      <c r="K55" s="5"/>
      <c r="L55" s="5"/>
      <c r="M55" s="5"/>
      <c r="N55" s="6"/>
      <c r="O55" s="6"/>
      <c r="P55" s="6"/>
      <c r="Q55" s="6"/>
      <c r="R55" s="70">
        <v>1</v>
      </c>
      <c r="S55" s="7" t="str">
        <f t="shared" si="6"/>
        <v>Non appliqué</v>
      </c>
      <c r="T55" s="7" t="str">
        <f ca="1">IFERROR(S55/SUM(S:S),S55)</f>
        <v>Non appliqué</v>
      </c>
      <c r="U55" s="7" t="str">
        <f ca="1">IFERROR(T55*O56,T55)</f>
        <v>Non appliqué</v>
      </c>
      <c r="V55" s="7" t="str">
        <f t="shared" si="7"/>
        <v>Non appliqué</v>
      </c>
      <c r="W55" s="7" t="str">
        <f ca="1">IFERROR(V55/SUM(V:V),V55)</f>
        <v>Non appliqué</v>
      </c>
      <c r="X55" s="7" t="str">
        <f ca="1">IFERROR(W55*Q56,W55)</f>
        <v>Non appliqué</v>
      </c>
    </row>
    <row r="56" spans="1:25" x14ac:dyDescent="0.3">
      <c r="A56" s="64" t="s">
        <v>731</v>
      </c>
      <c r="B56" s="64" t="s">
        <v>733</v>
      </c>
      <c r="C56" s="71">
        <f>SUMIFS(Grille!R:R,Grille!A:A,Grille_HT1!A56,Grille!C:C,Grille_HT1!B56,Grille!K:K,"Majeur")</f>
        <v>0</v>
      </c>
      <c r="D56" s="71">
        <f>SUMIFS(Grille!Q:Q,Grille!A:A,Grille_HT1!A56,Grille!C:C,Grille_HT1!B56,Grille!K:K,"Majeur")</f>
        <v>0</v>
      </c>
      <c r="E56" s="71">
        <f>SUMIFS(Grille!N:N,Grille!A:A,Grille_HT1!A56,Grille!C:C,Grille_HT1!B56,Grille!K:K,"Majeur")</f>
        <v>0</v>
      </c>
      <c r="F56" s="72" t="str">
        <f t="shared" si="0"/>
        <v>Non appliqué</v>
      </c>
      <c r="G56" s="71">
        <f>SUMIFS(Grille!R:R,Grille!A:A,Grille_HT1!A56,Grille!C:C,Grille_HT1!B56,Grille!K:K,"Mineur")</f>
        <v>0</v>
      </c>
      <c r="H56" s="71">
        <f>SUMIFS(Grille!Q:Q,Grille!A:A,Grille_HT1!A56,Grille!C:C,Grille_HT1!B56,Grille!K:K,"Mineur")</f>
        <v>0</v>
      </c>
      <c r="I56" s="71">
        <f>SUMIFS(Grille!N:N,Grille!A:A,Grille_HT1!A56,Grille!C:C,Grille_HT1!B56,Grille!K:K,"Mineur")</f>
        <v>0</v>
      </c>
      <c r="J56" s="72" t="str">
        <f t="shared" si="1"/>
        <v>Non appliqué</v>
      </c>
      <c r="K56" s="71">
        <v>40</v>
      </c>
      <c r="L56" s="73" t="str">
        <f t="shared" si="2"/>
        <v>Non appliqué</v>
      </c>
      <c r="M56" s="73" t="str">
        <f t="shared" si="3"/>
        <v>Non appliqué</v>
      </c>
      <c r="N56" s="73" t="str">
        <f>IF(ISNUMBER(F56),F56*L56,F56)</f>
        <v>Non appliqué</v>
      </c>
      <c r="O56" s="73" t="str">
        <f t="shared" si="4"/>
        <v>Non appliqué</v>
      </c>
      <c r="P56" s="73" t="str">
        <f>IF(ISNUMBER(J56),J56*M56,J56)</f>
        <v>Non appliqué</v>
      </c>
      <c r="Q56" s="73" t="str">
        <f t="shared" si="5"/>
        <v>Non appliqué</v>
      </c>
      <c r="R56" s="77"/>
      <c r="S56" s="75"/>
      <c r="T56" s="75"/>
      <c r="U56" s="75"/>
      <c r="V56" s="76"/>
      <c r="W56" s="76"/>
      <c r="X56" s="76"/>
      <c r="Y56" s="134">
        <f>Y54+1</f>
        <v>41</v>
      </c>
    </row>
    <row r="57" spans="1:25" ht="25.2" x14ac:dyDescent="0.3">
      <c r="A57" s="64" t="s">
        <v>731</v>
      </c>
      <c r="B57" s="64" t="s">
        <v>734</v>
      </c>
      <c r="C57" s="71">
        <f>SUMIFS(Grille!R:R,Grille!A:A,Grille_HT1!A57,Grille!C:C,Grille_HT1!B57,Grille!K:K,"Majeur")</f>
        <v>0</v>
      </c>
      <c r="D57" s="71">
        <f>SUMIFS(Grille!Q:Q,Grille!A:A,Grille_HT1!A57,Grille!C:C,Grille_HT1!B57,Grille!K:K,"Majeur")</f>
        <v>0</v>
      </c>
      <c r="E57" s="71">
        <f>SUMIFS(Grille!N:N,Grille!A:A,Grille_HT1!A57,Grille!C:C,Grille_HT1!B57,Grille!K:K,"Majeur")</f>
        <v>0</v>
      </c>
      <c r="F57" s="72" t="str">
        <f t="shared" si="0"/>
        <v>Non appliqué</v>
      </c>
      <c r="G57" s="71">
        <f>SUMIFS(Grille!R:R,Grille!A:A,Grille_HT1!A57,Grille!C:C,Grille_HT1!B57,Grille!K:K,"Mineur")</f>
        <v>0</v>
      </c>
      <c r="H57" s="71">
        <f>SUMIFS(Grille!Q:Q,Grille!A:A,Grille_HT1!A57,Grille!C:C,Grille_HT1!B57,Grille!K:K,"Mineur")</f>
        <v>0</v>
      </c>
      <c r="I57" s="71">
        <f>SUMIFS(Grille!N:N,Grille!A:A,Grille_HT1!A57,Grille!C:C,Grille_HT1!B57,Grille!K:K,"Mineur")</f>
        <v>0</v>
      </c>
      <c r="J57" s="72" t="str">
        <f t="shared" si="1"/>
        <v>Non appliqué</v>
      </c>
      <c r="K57" s="71">
        <v>10</v>
      </c>
      <c r="L57" s="73" t="str">
        <f t="shared" si="2"/>
        <v>Non appliqué</v>
      </c>
      <c r="M57" s="73" t="str">
        <f t="shared" si="3"/>
        <v>Non appliqué</v>
      </c>
      <c r="N57" s="73" t="str">
        <f>IF(ISNUMBER(F57),F57*L57,F57)</f>
        <v>Non appliqué</v>
      </c>
      <c r="O57" s="73" t="str">
        <f t="shared" si="4"/>
        <v>Non appliqué</v>
      </c>
      <c r="P57" s="73" t="str">
        <f>IF(ISNUMBER(J57),J57*M57,J57)</f>
        <v>Non appliqué</v>
      </c>
      <c r="Q57" s="73" t="str">
        <f t="shared" si="5"/>
        <v>Non appliqué</v>
      </c>
      <c r="R57" s="77"/>
      <c r="S57" s="75"/>
      <c r="T57" s="75"/>
      <c r="U57" s="75"/>
      <c r="V57" s="76"/>
      <c r="W57" s="76"/>
      <c r="X57" s="76"/>
      <c r="Y57" s="134">
        <f t="shared" si="8"/>
        <v>42</v>
      </c>
    </row>
    <row r="58" spans="1:25" ht="25.2" x14ac:dyDescent="0.3">
      <c r="A58" s="64" t="s">
        <v>731</v>
      </c>
      <c r="B58" s="64" t="s">
        <v>735</v>
      </c>
      <c r="C58" s="71">
        <f>SUMIFS(Grille!R:R,Grille!A:A,Grille_HT1!A58,Grille!C:C,Grille_HT1!B58,Grille!K:K,"Majeur")</f>
        <v>0</v>
      </c>
      <c r="D58" s="71">
        <f>SUMIFS(Grille!Q:Q,Grille!A:A,Grille_HT1!A58,Grille!C:C,Grille_HT1!B58,Grille!K:K,"Majeur")</f>
        <v>0</v>
      </c>
      <c r="E58" s="71">
        <f>SUMIFS(Grille!N:N,Grille!A:A,Grille_HT1!A58,Grille!C:C,Grille_HT1!B58,Grille!K:K,"Majeur")</f>
        <v>0</v>
      </c>
      <c r="F58" s="72" t="str">
        <f t="shared" si="0"/>
        <v>Non appliqué</v>
      </c>
      <c r="G58" s="71">
        <f>SUMIFS(Grille!R:R,Grille!A:A,Grille_HT1!A58,Grille!C:C,Grille_HT1!B58,Grille!K:K,"Mineur")</f>
        <v>0</v>
      </c>
      <c r="H58" s="71">
        <f>SUMIFS(Grille!Q:Q,Grille!A:A,Grille_HT1!A58,Grille!C:C,Grille_HT1!B58,Grille!K:K,"Mineur")</f>
        <v>0</v>
      </c>
      <c r="I58" s="71">
        <f>SUMIFS(Grille!N:N,Grille!A:A,Grille_HT1!A58,Grille!C:C,Grille_HT1!B58,Grille!K:K,"Mineur")</f>
        <v>0</v>
      </c>
      <c r="J58" s="72" t="str">
        <f t="shared" si="1"/>
        <v>Non appliqué</v>
      </c>
      <c r="K58" s="71">
        <v>10</v>
      </c>
      <c r="L58" s="73" t="str">
        <f t="shared" si="2"/>
        <v>Non appliqué</v>
      </c>
      <c r="M58" s="73" t="str">
        <f t="shared" si="3"/>
        <v>Non appliqué</v>
      </c>
      <c r="N58" s="73" t="str">
        <f>IF(ISNUMBER(F58),F58*L58,F58)</f>
        <v>Non appliqué</v>
      </c>
      <c r="O58" s="73" t="str">
        <f t="shared" si="4"/>
        <v>Non appliqué</v>
      </c>
      <c r="P58" s="73" t="str">
        <f>IF(ISNUMBER(J58),J58*M58,J58)</f>
        <v>Non appliqué</v>
      </c>
      <c r="Q58" s="73" t="str">
        <f t="shared" si="5"/>
        <v>Non appliqué</v>
      </c>
      <c r="R58" s="77"/>
      <c r="S58" s="75"/>
      <c r="T58" s="75"/>
      <c r="U58" s="75"/>
      <c r="V58" s="76"/>
      <c r="W58" s="76"/>
      <c r="X58" s="76"/>
      <c r="Y58" s="134">
        <f t="shared" si="8"/>
        <v>43</v>
      </c>
    </row>
    <row r="59" spans="1:25" ht="25.2" x14ac:dyDescent="0.3">
      <c r="A59" s="64" t="s">
        <v>731</v>
      </c>
      <c r="B59" s="64" t="s">
        <v>736</v>
      </c>
      <c r="C59" s="71">
        <f>SUMIFS(Grille!R:R,Grille!A:A,Grille_HT1!A59,Grille!C:C,Grille_HT1!B59,Grille!K:K,"Majeur")</f>
        <v>0</v>
      </c>
      <c r="D59" s="71">
        <f>SUMIFS(Grille!Q:Q,Grille!A:A,Grille_HT1!A59,Grille!C:C,Grille_HT1!B59,Grille!K:K,"Majeur")</f>
        <v>0</v>
      </c>
      <c r="E59" s="71">
        <f>SUMIFS(Grille!N:N,Grille!A:A,Grille_HT1!A59,Grille!C:C,Grille_HT1!B59,Grille!K:K,"Majeur")</f>
        <v>0</v>
      </c>
      <c r="F59" s="72" t="str">
        <f t="shared" si="0"/>
        <v>Non appliqué</v>
      </c>
      <c r="G59" s="71">
        <f>SUMIFS(Grille!R:R,Grille!A:A,Grille_HT1!A59,Grille!C:C,Grille_HT1!B59,Grille!K:K,"Mineur")</f>
        <v>0</v>
      </c>
      <c r="H59" s="71">
        <f>SUMIFS(Grille!Q:Q,Grille!A:A,Grille_HT1!A59,Grille!C:C,Grille_HT1!B59,Grille!K:K,"Mineur")</f>
        <v>0</v>
      </c>
      <c r="I59" s="71">
        <f>SUMIFS(Grille!N:N,Grille!A:A,Grille_HT1!A59,Grille!C:C,Grille_HT1!B59,Grille!K:K,"Mineur")</f>
        <v>0</v>
      </c>
      <c r="J59" s="72" t="str">
        <f t="shared" si="1"/>
        <v>Non appliqué</v>
      </c>
      <c r="K59" s="71">
        <v>20</v>
      </c>
      <c r="L59" s="73" t="str">
        <f t="shared" si="2"/>
        <v>Non appliqué</v>
      </c>
      <c r="M59" s="73" t="str">
        <f t="shared" si="3"/>
        <v>Non appliqué</v>
      </c>
      <c r="N59" s="73" t="str">
        <f>IF(ISNUMBER(F59),F59*L59,F59)</f>
        <v>Non appliqué</v>
      </c>
      <c r="O59" s="73" t="str">
        <f t="shared" si="4"/>
        <v>Non appliqué</v>
      </c>
      <c r="P59" s="73" t="str">
        <f>IF(ISNUMBER(J59),J59*M59,J59)</f>
        <v>Non appliqué</v>
      </c>
      <c r="Q59" s="73" t="str">
        <f t="shared" si="5"/>
        <v>Non appliqué</v>
      </c>
      <c r="R59" s="77"/>
      <c r="S59" s="75"/>
      <c r="T59" s="75"/>
      <c r="U59" s="75"/>
      <c r="V59" s="76"/>
      <c r="W59" s="76"/>
      <c r="X59" s="76"/>
      <c r="Y59" s="134">
        <f t="shared" si="8"/>
        <v>44</v>
      </c>
    </row>
    <row r="60" spans="1:25" ht="25.2" x14ac:dyDescent="0.3">
      <c r="A60" s="64" t="s">
        <v>731</v>
      </c>
      <c r="B60" s="64" t="s">
        <v>737</v>
      </c>
      <c r="C60" s="71">
        <f>SUMIFS(Grille!R:R,Grille!A:A,Grille_HT1!A60,Grille!C:C,Grille_HT1!B60,Grille!K:K,"Majeur")</f>
        <v>0</v>
      </c>
      <c r="D60" s="71">
        <f>SUMIFS(Grille!Q:Q,Grille!A:A,Grille_HT1!A60,Grille!C:C,Grille_HT1!B60,Grille!K:K,"Majeur")</f>
        <v>0</v>
      </c>
      <c r="E60" s="71">
        <f>SUMIFS(Grille!N:N,Grille!A:A,Grille_HT1!A60,Grille!C:C,Grille_HT1!B60,Grille!K:K,"Majeur")</f>
        <v>0</v>
      </c>
      <c r="F60" s="72" t="str">
        <f t="shared" si="0"/>
        <v>Non appliqué</v>
      </c>
      <c r="G60" s="71">
        <f>SUMIFS(Grille!R:R,Grille!A:A,Grille_HT1!A60,Grille!C:C,Grille_HT1!B60,Grille!K:K,"Mineur")</f>
        <v>0</v>
      </c>
      <c r="H60" s="71">
        <f>SUMIFS(Grille!Q:Q,Grille!A:A,Grille_HT1!A60,Grille!C:C,Grille_HT1!B60,Grille!K:K,"Mineur")</f>
        <v>0</v>
      </c>
      <c r="I60" s="71">
        <f>SUMIFS(Grille!N:N,Grille!A:A,Grille_HT1!A60,Grille!C:C,Grille_HT1!B60,Grille!K:K,"Mineur")</f>
        <v>0</v>
      </c>
      <c r="J60" s="72" t="str">
        <f t="shared" si="1"/>
        <v>Non appliqué</v>
      </c>
      <c r="K60" s="71">
        <v>20</v>
      </c>
      <c r="L60" s="73" t="str">
        <f t="shared" si="2"/>
        <v>Non appliqué</v>
      </c>
      <c r="M60" s="73" t="str">
        <f t="shared" si="3"/>
        <v>Non appliqué</v>
      </c>
      <c r="N60" s="73" t="str">
        <f>IF(ISNUMBER(F60),F60*L60,F60)</f>
        <v>Non appliqué</v>
      </c>
      <c r="O60" s="73" t="str">
        <f t="shared" si="4"/>
        <v>Non appliqué</v>
      </c>
      <c r="P60" s="73" t="str">
        <f>IF(ISNUMBER(J60),J60*M60,J60)</f>
        <v>Non appliqué</v>
      </c>
      <c r="Q60" s="73" t="str">
        <f t="shared" si="5"/>
        <v>Non appliqué</v>
      </c>
      <c r="R60" s="77"/>
      <c r="S60" s="75"/>
      <c r="T60" s="75"/>
      <c r="U60" s="75"/>
      <c r="V60" s="76"/>
      <c r="W60" s="76"/>
      <c r="X60" s="76"/>
      <c r="Y60" s="134">
        <f t="shared" si="8"/>
        <v>45</v>
      </c>
    </row>
    <row r="61" spans="1:25" ht="25.2" x14ac:dyDescent="0.3">
      <c r="A61" s="4"/>
      <c r="B61" s="4" t="str">
        <f>A62</f>
        <v>Boutique</v>
      </c>
      <c r="C61" s="5"/>
      <c r="D61" s="5"/>
      <c r="E61" s="5"/>
      <c r="F61" s="5"/>
      <c r="G61" s="9"/>
      <c r="H61" s="9"/>
      <c r="I61" s="9"/>
      <c r="J61" s="6"/>
      <c r="K61" s="5"/>
      <c r="L61" s="5"/>
      <c r="M61" s="5"/>
      <c r="N61" s="6"/>
      <c r="O61" s="6"/>
      <c r="P61" s="6"/>
      <c r="Q61" s="6"/>
      <c r="R61" s="70">
        <v>1</v>
      </c>
      <c r="S61" s="7" t="str">
        <f t="shared" si="6"/>
        <v>Non appliqué</v>
      </c>
      <c r="T61" s="7" t="str">
        <f ca="1">IFERROR(S61/SUM(S:S),S61)</f>
        <v>Non appliqué</v>
      </c>
      <c r="U61" s="7" t="str">
        <f ca="1">IFERROR(T61*O62,T61)</f>
        <v>Non appliqué</v>
      </c>
      <c r="V61" s="7" t="str">
        <f t="shared" si="7"/>
        <v>Non appliqué</v>
      </c>
      <c r="W61" s="7" t="str">
        <f ca="1">IFERROR(V61/SUM(V:V),V61)</f>
        <v>Non appliqué</v>
      </c>
      <c r="X61" s="7" t="str">
        <f ca="1">IFERROR(W61*Q62,W61)</f>
        <v>Non appliqué</v>
      </c>
    </row>
    <row r="62" spans="1:25" x14ac:dyDescent="0.3">
      <c r="A62" s="64" t="s">
        <v>738</v>
      </c>
      <c r="B62" s="64" t="s">
        <v>738</v>
      </c>
      <c r="C62" s="71">
        <f>SUMIFS(Grille!R:R,Grille!A:A,Grille_HT1!A62,Grille!C:C,Grille_HT1!B62,Grille!K:K,"Majeur")</f>
        <v>0</v>
      </c>
      <c r="D62" s="71">
        <f>SUMIFS(Grille!Q:Q,Grille!A:A,Grille_HT1!A62,Grille!C:C,Grille_HT1!B62,Grille!K:K,"Majeur")</f>
        <v>0</v>
      </c>
      <c r="E62" s="71">
        <f>SUMIFS(Grille!N:N,Grille!A:A,Grille_HT1!A62,Grille!C:C,Grille_HT1!B62,Grille!K:K,"Majeur")</f>
        <v>0</v>
      </c>
      <c r="F62" s="72" t="str">
        <f t="shared" si="0"/>
        <v>Non appliqué</v>
      </c>
      <c r="G62" s="71">
        <f>SUMIFS(Grille!R:R,Grille!A:A,Grille_HT1!A62,Grille!C:C,Grille_HT1!B62,Grille!K:K,"Mineur")</f>
        <v>0</v>
      </c>
      <c r="H62" s="71">
        <f>SUMIFS(Grille!Q:Q,Grille!A:A,Grille_HT1!A62,Grille!C:C,Grille_HT1!B62,Grille!K:K,"Mineur")</f>
        <v>0</v>
      </c>
      <c r="I62" s="71">
        <f>SUMIFS(Grille!N:N,Grille!A:A,Grille_HT1!A62,Grille!C:C,Grille_HT1!B62,Grille!K:K,"Mineur")</f>
        <v>0</v>
      </c>
      <c r="J62" s="72" t="str">
        <f t="shared" si="1"/>
        <v>Non appliqué</v>
      </c>
      <c r="K62" s="71">
        <v>100</v>
      </c>
      <c r="L62" s="73" t="str">
        <f t="shared" si="2"/>
        <v>Non appliqué</v>
      </c>
      <c r="M62" s="73" t="str">
        <f t="shared" si="3"/>
        <v>Non appliqué</v>
      </c>
      <c r="N62" s="73" t="str">
        <f>IF(ISNUMBER(F62),F62*L62,F62)</f>
        <v>Non appliqué</v>
      </c>
      <c r="O62" s="73" t="str">
        <f t="shared" si="4"/>
        <v>Non appliqué</v>
      </c>
      <c r="P62" s="73" t="str">
        <f>IF(ISNUMBER(J62),J62*M62,J62)</f>
        <v>Non appliqué</v>
      </c>
      <c r="Q62" s="73" t="str">
        <f t="shared" si="5"/>
        <v>Non appliqué</v>
      </c>
      <c r="R62" s="77"/>
      <c r="S62" s="75"/>
      <c r="T62" s="75"/>
      <c r="U62" s="75"/>
      <c r="V62" s="76"/>
      <c r="W62" s="76"/>
      <c r="X62" s="76"/>
      <c r="Y62" s="134">
        <f>Y60+1</f>
        <v>46</v>
      </c>
    </row>
    <row r="63" spans="1:25" x14ac:dyDescent="0.3">
      <c r="A63" s="4"/>
      <c r="B63" s="4" t="s">
        <v>739</v>
      </c>
      <c r="C63" s="5"/>
      <c r="D63" s="5"/>
      <c r="E63" s="5"/>
      <c r="F63" s="5"/>
      <c r="G63" s="9"/>
      <c r="H63" s="9"/>
      <c r="I63" s="9"/>
      <c r="J63" s="6"/>
      <c r="K63" s="5"/>
      <c r="L63" s="5"/>
      <c r="M63" s="5"/>
      <c r="N63" s="6"/>
      <c r="O63" s="6"/>
      <c r="P63" s="6"/>
      <c r="Q63" s="6"/>
      <c r="R63" s="70">
        <v>25</v>
      </c>
      <c r="S63" s="7">
        <f t="shared" ca="1" si="6"/>
        <v>0.25</v>
      </c>
      <c r="T63" s="7">
        <f ca="1">IFERROR(S63/SUM(S:S),S63)</f>
        <v>0.43859649122807015</v>
      </c>
      <c r="U63" s="7">
        <f ca="1">IFERROR(T63*O64,T63)</f>
        <v>0</v>
      </c>
      <c r="V63" s="7">
        <f t="shared" ca="1" si="7"/>
        <v>0.25</v>
      </c>
      <c r="W63" s="7">
        <f ca="1">IFERROR(V63/SUM(V:V),V63)</f>
        <v>0.41322314049586772</v>
      </c>
      <c r="X63" s="7">
        <f ca="1">IFERROR(W63*Q64,W63)</f>
        <v>0</v>
      </c>
    </row>
    <row r="64" spans="1:25" x14ac:dyDescent="0.3">
      <c r="A64" s="64" t="s">
        <v>739</v>
      </c>
      <c r="B64" s="64" t="s">
        <v>682</v>
      </c>
      <c r="C64" s="71">
        <f>SUMIFS(Grille!R:R,Grille!A:A,Grille_HT1!A64,Grille!C:C,Grille_HT1!B64,Grille!K:K,"Majeur")</f>
        <v>14</v>
      </c>
      <c r="D64" s="71">
        <f ca="1">SUMIFS(Grille!Q:Q,Grille!A:A,Grille_HT1!A64,Grille!C:C,Grille_HT1!B64,Grille!K:K,"Majeur")</f>
        <v>14</v>
      </c>
      <c r="E64" s="71">
        <f ca="1">SUMIFS(Grille!N:N,Grille!A:A,Grille_HT1!A64,Grille!C:C,Grille_HT1!B64,Grille!K:K,"Majeur")</f>
        <v>0</v>
      </c>
      <c r="F64" s="72">
        <f t="shared" ca="1" si="0"/>
        <v>0</v>
      </c>
      <c r="G64" s="71">
        <f>SUMIFS(Grille!R:R,Grille!A:A,Grille_HT1!A64,Grille!C:C,Grille_HT1!B64,Grille!K:K,"Mineur")</f>
        <v>4</v>
      </c>
      <c r="H64" s="71">
        <f ca="1">SUMIFS(Grille!Q:Q,Grille!A:A,Grille_HT1!A64,Grille!C:C,Grille_HT1!B64,Grille!K:K,"Mineur")</f>
        <v>4</v>
      </c>
      <c r="I64" s="71">
        <f ca="1">SUMIFS(Grille!N:N,Grille!A:A,Grille_HT1!A64,Grille!C:C,Grille_HT1!B64,Grille!K:K,"Mineur")</f>
        <v>0</v>
      </c>
      <c r="J64" s="72">
        <f t="shared" ca="1" si="1"/>
        <v>0</v>
      </c>
      <c r="K64" s="71">
        <v>10</v>
      </c>
      <c r="L64" s="73">
        <f t="shared" ca="1" si="2"/>
        <v>0.11764705882352941</v>
      </c>
      <c r="M64" s="73">
        <f t="shared" ca="1" si="3"/>
        <v>0.17391304347826086</v>
      </c>
      <c r="N64" s="73">
        <f t="shared" ref="N64:N74" ca="1" si="11">IF(ISNUMBER(F64),F64*L64,F64)</f>
        <v>0</v>
      </c>
      <c r="O64" s="73">
        <f t="shared" ca="1" si="4"/>
        <v>0</v>
      </c>
      <c r="P64" s="73">
        <f t="shared" ref="P64:P74" ca="1" si="12">IF(ISNUMBER(J64),J64*M64,J64)</f>
        <v>0</v>
      </c>
      <c r="Q64" s="73">
        <f t="shared" ca="1" si="5"/>
        <v>0</v>
      </c>
      <c r="R64" s="77"/>
      <c r="S64" s="75"/>
      <c r="T64" s="75"/>
      <c r="U64" s="75"/>
      <c r="V64" s="76"/>
      <c r="W64" s="76"/>
      <c r="X64" s="76"/>
      <c r="Y64" s="134">
        <f>Y62+1</f>
        <v>47</v>
      </c>
    </row>
    <row r="65" spans="1:25" x14ac:dyDescent="0.3">
      <c r="A65" s="64" t="s">
        <v>739</v>
      </c>
      <c r="B65" s="64" t="s">
        <v>742</v>
      </c>
      <c r="C65" s="71">
        <f>SUMIFS(Grille!R:R,Grille!A:A,Grille_HT1!A65,Grille!C:C,Grille_HT1!B65,Grille!K:K,"Majeur")</f>
        <v>11</v>
      </c>
      <c r="D65" s="71">
        <f ca="1">SUMIFS(Grille!Q:Q,Grille!A:A,Grille_HT1!A65,Grille!C:C,Grille_HT1!B65,Grille!K:K,"Majeur")</f>
        <v>11</v>
      </c>
      <c r="E65" s="71">
        <f ca="1">SUMIFS(Grille!N:N,Grille!A:A,Grille_HT1!A65,Grille!C:C,Grille_HT1!B65,Grille!K:K,"Majeur")</f>
        <v>0</v>
      </c>
      <c r="F65" s="72">
        <f t="shared" ca="1" si="0"/>
        <v>0</v>
      </c>
      <c r="G65" s="71">
        <f>SUMIFS(Grille!R:R,Grille!A:A,Grille_HT1!A65,Grille!C:C,Grille_HT1!B65,Grille!K:K,"Mineur")</f>
        <v>4</v>
      </c>
      <c r="H65" s="71">
        <f ca="1">SUMIFS(Grille!Q:Q,Grille!A:A,Grille_HT1!A65,Grille!C:C,Grille_HT1!B65,Grille!K:K,"Mineur")</f>
        <v>4</v>
      </c>
      <c r="I65" s="71">
        <f ca="1">SUMIFS(Grille!N:N,Grille!A:A,Grille_HT1!A65,Grille!C:C,Grille_HT1!B65,Grille!K:K,"Mineur")</f>
        <v>0</v>
      </c>
      <c r="J65" s="72">
        <f t="shared" ca="1" si="1"/>
        <v>0</v>
      </c>
      <c r="K65" s="71">
        <v>2.5</v>
      </c>
      <c r="L65" s="73">
        <f t="shared" ca="1" si="2"/>
        <v>2.9411764705882353E-2</v>
      </c>
      <c r="M65" s="73">
        <f t="shared" ca="1" si="3"/>
        <v>4.3478260869565216E-2</v>
      </c>
      <c r="N65" s="73">
        <f t="shared" ca="1" si="11"/>
        <v>0</v>
      </c>
      <c r="O65" s="73">
        <f t="shared" ca="1" si="4"/>
        <v>0</v>
      </c>
      <c r="P65" s="73">
        <f t="shared" ca="1" si="12"/>
        <v>0</v>
      </c>
      <c r="Q65" s="73">
        <f t="shared" ca="1" si="5"/>
        <v>0</v>
      </c>
      <c r="R65" s="77"/>
      <c r="S65" s="75"/>
      <c r="T65" s="75"/>
      <c r="U65" s="75"/>
      <c r="V65" s="76"/>
      <c r="W65" s="76"/>
      <c r="X65" s="76"/>
      <c r="Y65" s="134">
        <f t="shared" si="8"/>
        <v>48</v>
      </c>
    </row>
    <row r="66" spans="1:25" x14ac:dyDescent="0.3">
      <c r="A66" s="64" t="s">
        <v>739</v>
      </c>
      <c r="B66" s="64" t="s">
        <v>743</v>
      </c>
      <c r="C66" s="71">
        <f>SUMIFS(Grille!R:R,Grille!A:A,Grille_HT1!A66,Grille!C:C,Grille_HT1!B66,Grille!K:K,"Majeur")</f>
        <v>14</v>
      </c>
      <c r="D66" s="71">
        <f ca="1">SUMIFS(Grille!Q:Q,Grille!A:A,Grille_HT1!A66,Grille!C:C,Grille_HT1!B66,Grille!K:K,"Majeur")</f>
        <v>14</v>
      </c>
      <c r="E66" s="71">
        <f ca="1">SUMIFS(Grille!N:N,Grille!A:A,Grille_HT1!A66,Grille!C:C,Grille_HT1!B66,Grille!K:K,"Majeur")</f>
        <v>0</v>
      </c>
      <c r="F66" s="72">
        <f t="shared" ca="1" si="0"/>
        <v>0</v>
      </c>
      <c r="G66" s="71">
        <f>SUMIFS(Grille!R:R,Grille!A:A,Grille_HT1!A66,Grille!C:C,Grille_HT1!B66,Grille!K:K,"Mineur")</f>
        <v>2</v>
      </c>
      <c r="H66" s="71">
        <f ca="1">SUMIFS(Grille!Q:Q,Grille!A:A,Grille_HT1!A66,Grille!C:C,Grille_HT1!B66,Grille!K:K,"Mineur")</f>
        <v>2</v>
      </c>
      <c r="I66" s="71">
        <f ca="1">SUMIFS(Grille!N:N,Grille!A:A,Grille_HT1!A66,Grille!C:C,Grille_HT1!B66,Grille!K:K,"Mineur")</f>
        <v>0</v>
      </c>
      <c r="J66" s="72">
        <f t="shared" ca="1" si="1"/>
        <v>0</v>
      </c>
      <c r="K66" s="71">
        <v>5</v>
      </c>
      <c r="L66" s="73">
        <f t="shared" ca="1" si="2"/>
        <v>5.8823529411764705E-2</v>
      </c>
      <c r="M66" s="73">
        <f t="shared" ca="1" si="3"/>
        <v>8.6956521739130432E-2</v>
      </c>
      <c r="N66" s="73">
        <f t="shared" ca="1" si="11"/>
        <v>0</v>
      </c>
      <c r="O66" s="73">
        <f t="shared" ca="1" si="4"/>
        <v>0</v>
      </c>
      <c r="P66" s="73">
        <f t="shared" ca="1" si="12"/>
        <v>0</v>
      </c>
      <c r="Q66" s="73">
        <f t="shared" ca="1" si="5"/>
        <v>0</v>
      </c>
      <c r="R66" s="77"/>
      <c r="S66" s="75"/>
      <c r="T66" s="75"/>
      <c r="U66" s="75"/>
      <c r="V66" s="76"/>
      <c r="W66" s="76"/>
      <c r="X66" s="76"/>
      <c r="Y66" s="134">
        <f t="shared" si="8"/>
        <v>49</v>
      </c>
    </row>
    <row r="67" spans="1:25" x14ac:dyDescent="0.3">
      <c r="A67" s="64" t="s">
        <v>739</v>
      </c>
      <c r="B67" s="64" t="s">
        <v>746</v>
      </c>
      <c r="C67" s="71">
        <f>SUMIFS(Grille!R:R,Grille!A:A,Grille_HT1!A67,Grille!C:C,Grille_HT1!B67,Grille!K:K,"Majeur")</f>
        <v>21</v>
      </c>
      <c r="D67" s="71">
        <f ca="1">SUMIFS(Grille!Q:Q,Grille!A:A,Grille_HT1!A67,Grille!C:C,Grille_HT1!B67,Grille!K:K,"Majeur")</f>
        <v>21</v>
      </c>
      <c r="E67" s="71">
        <f ca="1">SUMIFS(Grille!N:N,Grille!A:A,Grille_HT1!A67,Grille!C:C,Grille_HT1!B67,Grille!K:K,"Majeur")</f>
        <v>0</v>
      </c>
      <c r="F67" s="72">
        <f t="shared" ca="1" si="0"/>
        <v>0</v>
      </c>
      <c r="G67" s="71">
        <f>SUMIFS(Grille!R:R,Grille!A:A,Grille_HT1!A67,Grille!C:C,Grille_HT1!B67,Grille!K:K,"Mineur")</f>
        <v>0</v>
      </c>
      <c r="H67" s="71">
        <f>SUMIFS(Grille!Q:Q,Grille!A:A,Grille_HT1!A67,Grille!C:C,Grille_HT1!B67,Grille!K:K,"Mineur")</f>
        <v>0</v>
      </c>
      <c r="I67" s="71">
        <f>SUMIFS(Grille!N:N,Grille!A:A,Grille_HT1!A67,Grille!C:C,Grille_HT1!B67,Grille!K:K,"Mineur")</f>
        <v>0</v>
      </c>
      <c r="J67" s="72" t="str">
        <f t="shared" si="1"/>
        <v>Non appliqué</v>
      </c>
      <c r="K67" s="71">
        <v>20</v>
      </c>
      <c r="L67" s="73">
        <f t="shared" ca="1" si="2"/>
        <v>0.23529411764705882</v>
      </c>
      <c r="M67" s="73" t="str">
        <f t="shared" si="3"/>
        <v>Non appliqué</v>
      </c>
      <c r="N67" s="73">
        <f t="shared" ca="1" si="11"/>
        <v>0</v>
      </c>
      <c r="O67" s="73">
        <f t="shared" ca="1" si="4"/>
        <v>0</v>
      </c>
      <c r="P67" s="73" t="str">
        <f t="shared" si="12"/>
        <v>Non appliqué</v>
      </c>
      <c r="Q67" s="73">
        <f t="shared" ca="1" si="5"/>
        <v>0</v>
      </c>
      <c r="R67" s="77"/>
      <c r="S67" s="75"/>
      <c r="T67" s="75"/>
      <c r="U67" s="75"/>
      <c r="V67" s="76"/>
      <c r="W67" s="76"/>
      <c r="X67" s="76"/>
      <c r="Y67" s="134">
        <f t="shared" si="8"/>
        <v>50</v>
      </c>
    </row>
    <row r="68" spans="1:25" x14ac:dyDescent="0.3">
      <c r="A68" s="64" t="s">
        <v>739</v>
      </c>
      <c r="B68" s="64" t="s">
        <v>747</v>
      </c>
      <c r="C68" s="71">
        <f>SUMIFS(Grille!R:R,Grille!A:A,Grille_HT1!A68,Grille!C:C,Grille_HT1!B68,Grille!K:K,"Majeur")</f>
        <v>8</v>
      </c>
      <c r="D68" s="71">
        <f ca="1">SUMIFS(Grille!Q:Q,Grille!A:A,Grille_HT1!A68,Grille!C:C,Grille_HT1!B68,Grille!K:K,"Majeur")</f>
        <v>8</v>
      </c>
      <c r="E68" s="71">
        <f ca="1">SUMIFS(Grille!N:N,Grille!A:A,Grille_HT1!A68,Grille!C:C,Grille_HT1!B68,Grille!K:K,"Majeur")</f>
        <v>0</v>
      </c>
      <c r="F68" s="72">
        <f t="shared" ref="F68:F91" ca="1" si="13">IF(C68=0,"Non appliqué",IF(D68=0,"Non concerné",E68/D68))</f>
        <v>0</v>
      </c>
      <c r="G68" s="71">
        <f>SUMIFS(Grille!R:R,Grille!A:A,Grille_HT1!A68,Grille!C:C,Grille_HT1!B68,Grille!K:K,"Mineur")</f>
        <v>2</v>
      </c>
      <c r="H68" s="71">
        <f ca="1">SUMIFS(Grille!Q:Q,Grille!A:A,Grille_HT1!A68,Grille!C:C,Grille_HT1!B68,Grille!K:K,"Mineur")</f>
        <v>2</v>
      </c>
      <c r="I68" s="71">
        <f ca="1">SUMIFS(Grille!N:N,Grille!A:A,Grille_HT1!A68,Grille!C:C,Grille_HT1!B68,Grille!K:K,"Mineur")</f>
        <v>0</v>
      </c>
      <c r="J68" s="72">
        <f t="shared" ref="J68:J91" ca="1" si="14">IF(G68=0,"Non appliqué",IF(H68=0,"Non concerné",I68/H68))</f>
        <v>0</v>
      </c>
      <c r="K68" s="71">
        <v>5</v>
      </c>
      <c r="L68" s="73">
        <f t="shared" ref="L68:L91" ca="1" si="15">IF(D68&gt;0,K68/SUMIFS(K:K,A:A,A68,D:D,"&gt;0"),F68)</f>
        <v>5.8823529411764705E-2</v>
      </c>
      <c r="M68" s="73">
        <f t="shared" ref="M68:M91" ca="1" si="16">IF(H68&gt;0,K68/SUMIFS(K:K,A:A,A68,H:H,"&gt;0"),J68)</f>
        <v>8.6956521739130432E-2</v>
      </c>
      <c r="N68" s="73">
        <f t="shared" ca="1" si="11"/>
        <v>0</v>
      </c>
      <c r="O68" s="73">
        <f t="shared" ref="O68:O91" ca="1" si="17">IF(SUMIFS(C:C,A:A,A68)=0,"Non appliqué",IF(SUMIFS(D:D,A:A,A68)&gt;=0,SUMIFS(N:N,A:A,A68),"Non concerné"))</f>
        <v>0</v>
      </c>
      <c r="P68" s="73">
        <f t="shared" ca="1" si="12"/>
        <v>0</v>
      </c>
      <c r="Q68" s="73">
        <f t="shared" ref="Q68:Q91" ca="1" si="18">IF(SUMIFS(G:G,A:A,A68)=0,"Non appliqué",IF(SUMIFS(H:H,A:A,A68)&gt;=0,SUMIFS(P:P,A:A,A68),"Non concerné"))</f>
        <v>0</v>
      </c>
      <c r="R68" s="77"/>
      <c r="S68" s="75"/>
      <c r="T68" s="75"/>
      <c r="U68" s="75"/>
      <c r="V68" s="76"/>
      <c r="W68" s="76"/>
      <c r="X68" s="76"/>
      <c r="Y68" s="134">
        <f t="shared" si="8"/>
        <v>51</v>
      </c>
    </row>
    <row r="69" spans="1:25" x14ac:dyDescent="0.3">
      <c r="A69" s="64" t="s">
        <v>739</v>
      </c>
      <c r="B69" s="64" t="s">
        <v>748</v>
      </c>
      <c r="C69" s="71">
        <f>SUMIFS(Grille!R:R,Grille!A:A,Grille_HT1!A69,Grille!C:C,Grille_HT1!B69,Grille!K:K,"Majeur")</f>
        <v>8</v>
      </c>
      <c r="D69" s="71">
        <f ca="1">SUMIFS(Grille!Q:Q,Grille!A:A,Grille_HT1!A69,Grille!C:C,Grille_HT1!B69,Grille!K:K,"Majeur")</f>
        <v>8</v>
      </c>
      <c r="E69" s="71">
        <f ca="1">SUMIFS(Grille!N:N,Grille!A:A,Grille_HT1!A69,Grille!C:C,Grille_HT1!B69,Grille!K:K,"Majeur")</f>
        <v>0</v>
      </c>
      <c r="F69" s="72">
        <f t="shared" ca="1" si="13"/>
        <v>0</v>
      </c>
      <c r="G69" s="71">
        <f>SUMIFS(Grille!R:R,Grille!A:A,Grille_HT1!A69,Grille!C:C,Grille_HT1!B69,Grille!K:K,"Mineur")</f>
        <v>4</v>
      </c>
      <c r="H69" s="71">
        <f ca="1">SUMIFS(Grille!Q:Q,Grille!A:A,Grille_HT1!A69,Grille!C:C,Grille_HT1!B69,Grille!K:K,"Mineur")</f>
        <v>4</v>
      </c>
      <c r="I69" s="71">
        <f ca="1">SUMIFS(Grille!N:N,Grille!A:A,Grille_HT1!A69,Grille!C:C,Grille_HT1!B69,Grille!K:K,"Mineur")</f>
        <v>0</v>
      </c>
      <c r="J69" s="72">
        <f t="shared" ca="1" si="14"/>
        <v>0</v>
      </c>
      <c r="K69" s="71">
        <v>20</v>
      </c>
      <c r="L69" s="73">
        <f t="shared" ca="1" si="15"/>
        <v>0.23529411764705882</v>
      </c>
      <c r="M69" s="73">
        <f t="shared" ca="1" si="16"/>
        <v>0.34782608695652173</v>
      </c>
      <c r="N69" s="73">
        <f t="shared" ca="1" si="11"/>
        <v>0</v>
      </c>
      <c r="O69" s="73">
        <f t="shared" ca="1" si="17"/>
        <v>0</v>
      </c>
      <c r="P69" s="73">
        <f t="shared" ca="1" si="12"/>
        <v>0</v>
      </c>
      <c r="Q69" s="73">
        <f t="shared" ca="1" si="18"/>
        <v>0</v>
      </c>
      <c r="R69" s="77"/>
      <c r="S69" s="75"/>
      <c r="T69" s="75"/>
      <c r="U69" s="75"/>
      <c r="V69" s="76"/>
      <c r="W69" s="76"/>
      <c r="X69" s="76"/>
      <c r="Y69" s="134">
        <f t="shared" si="8"/>
        <v>52</v>
      </c>
    </row>
    <row r="70" spans="1:25" x14ac:dyDescent="0.3">
      <c r="A70" s="64" t="s">
        <v>739</v>
      </c>
      <c r="B70" s="64" t="s">
        <v>751</v>
      </c>
      <c r="C70" s="71">
        <f>SUMIFS(Grille!R:R,Grille!A:A,Grille_HT1!A70,Grille!C:C,Grille_HT1!B70,Grille!K:K,"Majeur")</f>
        <v>10</v>
      </c>
      <c r="D70" s="71">
        <f ca="1">SUMIFS(Grille!Q:Q,Grille!A:A,Grille_HT1!A70,Grille!C:C,Grille_HT1!B70,Grille!K:K,"Majeur")</f>
        <v>10</v>
      </c>
      <c r="E70" s="71">
        <f ca="1">SUMIFS(Grille!N:N,Grille!A:A,Grille_HT1!A70,Grille!C:C,Grille_HT1!B70,Grille!K:K,"Majeur")</f>
        <v>0</v>
      </c>
      <c r="F70" s="72">
        <f t="shared" ca="1" si="13"/>
        <v>0</v>
      </c>
      <c r="G70" s="71">
        <f>SUMIFS(Grille!R:R,Grille!A:A,Grille_HT1!A70,Grille!C:C,Grille_HT1!B70,Grille!K:K,"Mineur")</f>
        <v>2</v>
      </c>
      <c r="H70" s="71">
        <f ca="1">SUMIFS(Grille!Q:Q,Grille!A:A,Grille_HT1!A70,Grille!C:C,Grille_HT1!B70,Grille!K:K,"Mineur")</f>
        <v>2</v>
      </c>
      <c r="I70" s="71">
        <f ca="1">SUMIFS(Grille!N:N,Grille!A:A,Grille_HT1!A70,Grille!C:C,Grille_HT1!B70,Grille!K:K,"Mineur")</f>
        <v>0</v>
      </c>
      <c r="J70" s="72">
        <f t="shared" ca="1" si="14"/>
        <v>0</v>
      </c>
      <c r="K70" s="71">
        <v>5</v>
      </c>
      <c r="L70" s="73">
        <f t="shared" ca="1" si="15"/>
        <v>5.8823529411764705E-2</v>
      </c>
      <c r="M70" s="73">
        <f t="shared" ca="1" si="16"/>
        <v>8.6956521739130432E-2</v>
      </c>
      <c r="N70" s="73">
        <f t="shared" ca="1" si="11"/>
        <v>0</v>
      </c>
      <c r="O70" s="73">
        <f t="shared" ca="1" si="17"/>
        <v>0</v>
      </c>
      <c r="P70" s="73">
        <f t="shared" ca="1" si="12"/>
        <v>0</v>
      </c>
      <c r="Q70" s="73">
        <f t="shared" ca="1" si="18"/>
        <v>0</v>
      </c>
      <c r="R70" s="77"/>
      <c r="S70" s="75"/>
      <c r="T70" s="75"/>
      <c r="U70" s="75"/>
      <c r="V70" s="76"/>
      <c r="W70" s="76"/>
      <c r="X70" s="76"/>
      <c r="Y70" s="134">
        <f t="shared" si="8"/>
        <v>53</v>
      </c>
    </row>
    <row r="71" spans="1:25" x14ac:dyDescent="0.3">
      <c r="A71" s="64" t="s">
        <v>739</v>
      </c>
      <c r="B71" s="64" t="s">
        <v>752</v>
      </c>
      <c r="C71" s="71">
        <f>SUMIFS(Grille!R:R,Grille!A:A,Grille_HT1!A71,Grille!C:C,Grille_HT1!B71,Grille!K:K,"Majeur")</f>
        <v>0</v>
      </c>
      <c r="D71" s="71">
        <f>SUMIFS(Grille!Q:Q,Grille!A:A,Grille_HT1!A71,Grille!C:C,Grille_HT1!B71,Grille!K:K,"Majeur")</f>
        <v>0</v>
      </c>
      <c r="E71" s="71">
        <f>SUMIFS(Grille!N:N,Grille!A:A,Grille_HT1!A71,Grille!C:C,Grille_HT1!B71,Grille!K:K,"Majeur")</f>
        <v>0</v>
      </c>
      <c r="F71" s="72" t="str">
        <f t="shared" si="13"/>
        <v>Non appliqué</v>
      </c>
      <c r="G71" s="71">
        <f>SUMIFS(Grille!R:R,Grille!A:A,Grille_HT1!A71,Grille!C:C,Grille_HT1!B71,Grille!K:K,"Mineur")</f>
        <v>0</v>
      </c>
      <c r="H71" s="71">
        <f>SUMIFS(Grille!Q:Q,Grille!A:A,Grille_HT1!A71,Grille!C:C,Grille_HT1!B71,Grille!K:K,"Mineur")</f>
        <v>0</v>
      </c>
      <c r="I71" s="71">
        <f>SUMIFS(Grille!N:N,Grille!A:A,Grille_HT1!A71,Grille!C:C,Grille_HT1!B71,Grille!K:K,"Mineur")</f>
        <v>0</v>
      </c>
      <c r="J71" s="72" t="str">
        <f t="shared" si="14"/>
        <v>Non appliqué</v>
      </c>
      <c r="K71" s="71">
        <v>5</v>
      </c>
      <c r="L71" s="73" t="str">
        <f t="shared" si="15"/>
        <v>Non appliqué</v>
      </c>
      <c r="M71" s="73" t="str">
        <f t="shared" si="16"/>
        <v>Non appliqué</v>
      </c>
      <c r="N71" s="73" t="str">
        <f t="shared" si="11"/>
        <v>Non appliqué</v>
      </c>
      <c r="O71" s="73">
        <f t="shared" ca="1" si="17"/>
        <v>0</v>
      </c>
      <c r="P71" s="73" t="str">
        <f t="shared" si="12"/>
        <v>Non appliqué</v>
      </c>
      <c r="Q71" s="73">
        <f t="shared" ca="1" si="18"/>
        <v>0</v>
      </c>
      <c r="R71" s="77"/>
      <c r="S71" s="75"/>
      <c r="T71" s="75"/>
      <c r="U71" s="75"/>
      <c r="V71" s="76"/>
      <c r="W71" s="76"/>
      <c r="X71" s="76"/>
      <c r="Y71" s="134">
        <f t="shared" ref="Y71:Y91" si="19">Y70+1</f>
        <v>54</v>
      </c>
    </row>
    <row r="72" spans="1:25" ht="25.2" x14ac:dyDescent="0.3">
      <c r="A72" s="64" t="s">
        <v>739</v>
      </c>
      <c r="B72" s="64" t="s">
        <v>753</v>
      </c>
      <c r="C72" s="71">
        <f>SUMIFS(Grille!R:R,Grille!A:A,Grille_HT1!A72,Grille!C:C,Grille_HT1!B72,Grille!K:K,"Majeur")</f>
        <v>8</v>
      </c>
      <c r="D72" s="71">
        <f ca="1">SUMIFS(Grille!Q:Q,Grille!A:A,Grille_HT1!A72,Grille!C:C,Grille_HT1!B72,Grille!K:K,"Majeur")</f>
        <v>8</v>
      </c>
      <c r="E72" s="71">
        <f ca="1">SUMIFS(Grille!N:N,Grille!A:A,Grille_HT1!A72,Grille!C:C,Grille_HT1!B72,Grille!K:K,"Majeur")</f>
        <v>0</v>
      </c>
      <c r="F72" s="72">
        <f t="shared" ca="1" si="13"/>
        <v>0</v>
      </c>
      <c r="G72" s="71">
        <f>SUMIFS(Grille!R:R,Grille!A:A,Grille_HT1!A72,Grille!C:C,Grille_HT1!B72,Grille!K:K,"Mineur")</f>
        <v>0</v>
      </c>
      <c r="H72" s="71">
        <f>SUMIFS(Grille!Q:Q,Grille!A:A,Grille_HT1!A72,Grille!C:C,Grille_HT1!B72,Grille!K:K,"Mineur")</f>
        <v>0</v>
      </c>
      <c r="I72" s="71">
        <f>SUMIFS(Grille!N:N,Grille!A:A,Grille_HT1!A72,Grille!C:C,Grille_HT1!B72,Grille!K:K,"Mineur")</f>
        <v>0</v>
      </c>
      <c r="J72" s="72" t="str">
        <f t="shared" si="14"/>
        <v>Non appliqué</v>
      </c>
      <c r="K72" s="71">
        <v>7.5</v>
      </c>
      <c r="L72" s="73">
        <f t="shared" ca="1" si="15"/>
        <v>8.8235294117647065E-2</v>
      </c>
      <c r="M72" s="73" t="str">
        <f t="shared" si="16"/>
        <v>Non appliqué</v>
      </c>
      <c r="N72" s="73">
        <f t="shared" ca="1" si="11"/>
        <v>0</v>
      </c>
      <c r="O72" s="73">
        <f t="shared" ca="1" si="17"/>
        <v>0</v>
      </c>
      <c r="P72" s="73" t="str">
        <f t="shared" si="12"/>
        <v>Non appliqué</v>
      </c>
      <c r="Q72" s="73">
        <f t="shared" ca="1" si="18"/>
        <v>0</v>
      </c>
      <c r="R72" s="77"/>
      <c r="S72" s="75"/>
      <c r="T72" s="75"/>
      <c r="U72" s="75"/>
      <c r="V72" s="76"/>
      <c r="W72" s="76"/>
      <c r="X72" s="76"/>
      <c r="Y72" s="134">
        <f t="shared" si="19"/>
        <v>55</v>
      </c>
    </row>
    <row r="73" spans="1:25" x14ac:dyDescent="0.3">
      <c r="A73" s="64" t="s">
        <v>739</v>
      </c>
      <c r="B73" s="64" t="s">
        <v>755</v>
      </c>
      <c r="C73" s="71">
        <f>SUMIFS(Grille!R:R,Grille!A:A,Grille_HT1!A73,Grille!C:C,Grille_HT1!B73,Grille!K:K,"Majeur")</f>
        <v>0</v>
      </c>
      <c r="D73" s="71">
        <f>SUMIFS(Grille!Q:Q,Grille!A:A,Grille_HT1!A73,Grille!C:C,Grille_HT1!B73,Grille!K:K,"Majeur")</f>
        <v>0</v>
      </c>
      <c r="E73" s="71">
        <f>SUMIFS(Grille!N:N,Grille!A:A,Grille_HT1!A73,Grille!C:C,Grille_HT1!B73,Grille!K:K,"Majeur")</f>
        <v>0</v>
      </c>
      <c r="F73" s="72" t="str">
        <f t="shared" si="13"/>
        <v>Non appliqué</v>
      </c>
      <c r="G73" s="71">
        <f>SUMIFS(Grille!R:R,Grille!A:A,Grille_HT1!A73,Grille!C:C,Grille_HT1!B73,Grille!K:K,"Mineur")</f>
        <v>0</v>
      </c>
      <c r="H73" s="71">
        <f>SUMIFS(Grille!Q:Q,Grille!A:A,Grille_HT1!A73,Grille!C:C,Grille_HT1!B73,Grille!K:K,"Mineur")</f>
        <v>0</v>
      </c>
      <c r="I73" s="71">
        <f>SUMIFS(Grille!N:N,Grille!A:A,Grille_HT1!A73,Grille!C:C,Grille_HT1!B73,Grille!K:K,"Mineur")</f>
        <v>0</v>
      </c>
      <c r="J73" s="72" t="str">
        <f t="shared" si="14"/>
        <v>Non appliqué</v>
      </c>
      <c r="K73" s="71">
        <v>10</v>
      </c>
      <c r="L73" s="73" t="str">
        <f t="shared" si="15"/>
        <v>Non appliqué</v>
      </c>
      <c r="M73" s="73" t="str">
        <f t="shared" si="16"/>
        <v>Non appliqué</v>
      </c>
      <c r="N73" s="73" t="str">
        <f t="shared" si="11"/>
        <v>Non appliqué</v>
      </c>
      <c r="O73" s="73">
        <f t="shared" ca="1" si="17"/>
        <v>0</v>
      </c>
      <c r="P73" s="73" t="str">
        <f t="shared" si="12"/>
        <v>Non appliqué</v>
      </c>
      <c r="Q73" s="73">
        <f t="shared" ca="1" si="18"/>
        <v>0</v>
      </c>
      <c r="R73" s="77"/>
      <c r="S73" s="75"/>
      <c r="T73" s="75"/>
      <c r="U73" s="75"/>
      <c r="V73" s="76"/>
      <c r="W73" s="76"/>
      <c r="X73" s="76"/>
      <c r="Y73" s="134">
        <f t="shared" si="19"/>
        <v>56</v>
      </c>
    </row>
    <row r="74" spans="1:25" x14ac:dyDescent="0.3">
      <c r="A74" s="64" t="s">
        <v>739</v>
      </c>
      <c r="B74" s="64" t="s">
        <v>756</v>
      </c>
      <c r="C74" s="71">
        <f>SUMIFS(Grille!R:R,Grille!A:A,Grille_HT1!A74,Grille!C:C,Grille_HT1!B74,Grille!K:K,"Majeur")</f>
        <v>2</v>
      </c>
      <c r="D74" s="71">
        <f ca="1">SUMIFS(Grille!Q:Q,Grille!A:A,Grille_HT1!A74,Grille!C:C,Grille_HT1!B74,Grille!K:K,"Majeur")</f>
        <v>2</v>
      </c>
      <c r="E74" s="71">
        <f ca="1">SUMIFS(Grille!N:N,Grille!A:A,Grille_HT1!A74,Grille!C:C,Grille_HT1!B74,Grille!K:K,"Majeur")</f>
        <v>0</v>
      </c>
      <c r="F74" s="72">
        <f t="shared" ca="1" si="13"/>
        <v>0</v>
      </c>
      <c r="G74" s="71">
        <f>SUMIFS(Grille!R:R,Grille!A:A,Grille_HT1!A74,Grille!C:C,Grille_HT1!B74,Grille!K:K,"Mineur")</f>
        <v>2</v>
      </c>
      <c r="H74" s="71">
        <f ca="1">SUMIFS(Grille!Q:Q,Grille!A:A,Grille_HT1!A74,Grille!C:C,Grille_HT1!B74,Grille!K:K,"Mineur")</f>
        <v>2</v>
      </c>
      <c r="I74" s="71">
        <f ca="1">SUMIFS(Grille!N:N,Grille!A:A,Grille_HT1!A74,Grille!C:C,Grille_HT1!B74,Grille!K:K,"Mineur")</f>
        <v>0</v>
      </c>
      <c r="J74" s="72">
        <f t="shared" ca="1" si="14"/>
        <v>0</v>
      </c>
      <c r="K74" s="71">
        <v>10</v>
      </c>
      <c r="L74" s="73">
        <f t="shared" ca="1" si="15"/>
        <v>0.11764705882352941</v>
      </c>
      <c r="M74" s="73">
        <f t="shared" ca="1" si="16"/>
        <v>0.17391304347826086</v>
      </c>
      <c r="N74" s="73">
        <f t="shared" ca="1" si="11"/>
        <v>0</v>
      </c>
      <c r="O74" s="73">
        <f t="shared" ca="1" si="17"/>
        <v>0</v>
      </c>
      <c r="P74" s="73">
        <f t="shared" ca="1" si="12"/>
        <v>0</v>
      </c>
      <c r="Q74" s="73">
        <f t="shared" ca="1" si="18"/>
        <v>0</v>
      </c>
      <c r="R74" s="77"/>
      <c r="S74" s="75"/>
      <c r="T74" s="75"/>
      <c r="U74" s="75"/>
      <c r="V74" s="76"/>
      <c r="W74" s="76"/>
      <c r="X74" s="76"/>
      <c r="Y74" s="134">
        <f t="shared" si="19"/>
        <v>57</v>
      </c>
    </row>
    <row r="75" spans="1:25" x14ac:dyDescent="0.3">
      <c r="A75" s="4"/>
      <c r="B75" s="4" t="str">
        <f>A76</f>
        <v>Salle de bain et toilettes</v>
      </c>
      <c r="C75" s="5"/>
      <c r="D75" s="5"/>
      <c r="E75" s="5"/>
      <c r="F75" s="5"/>
      <c r="G75" s="9"/>
      <c r="H75" s="9"/>
      <c r="I75" s="9"/>
      <c r="J75" s="6"/>
      <c r="K75" s="5"/>
      <c r="L75" s="5"/>
      <c r="M75" s="5"/>
      <c r="N75" s="6"/>
      <c r="O75" s="6"/>
      <c r="P75" s="6"/>
      <c r="Q75" s="6"/>
      <c r="R75" s="70">
        <v>10</v>
      </c>
      <c r="S75" s="7">
        <f t="shared" ref="S75:S88" ca="1" si="20">IF(SUMIF($A:$A,$A76,D:D)&gt;0,R75/SUM($R:$R),O76)</f>
        <v>0.1</v>
      </c>
      <c r="T75" s="7">
        <f ca="1">IFERROR(S75/SUM(S:S),S75)</f>
        <v>0.17543859649122806</v>
      </c>
      <c r="U75" s="7">
        <f ca="1">IFERROR(T75*O76,T75)</f>
        <v>0</v>
      </c>
      <c r="V75" s="7">
        <f t="shared" ref="V75:V88" ca="1" si="21">IF(SUMIF($A:$A,$A76,H:H)&gt;0,R75/SUM(R:R),Q76)</f>
        <v>0.1</v>
      </c>
      <c r="W75" s="7">
        <f ca="1">IFERROR(V75/SUM(V:V),V75)</f>
        <v>0.16528925619834708</v>
      </c>
      <c r="X75" s="7">
        <f ca="1">IFERROR(W75*Q76,W75)</f>
        <v>0</v>
      </c>
    </row>
    <row r="76" spans="1:25" x14ac:dyDescent="0.3">
      <c r="A76" s="64" t="s">
        <v>757</v>
      </c>
      <c r="B76" s="64" t="s">
        <v>682</v>
      </c>
      <c r="C76" s="71">
        <f>SUMIFS(Grille!R:R,Grille!A:A,Grille_HT1!A76,Grille!C:C,Grille_HT1!B76,Grille!K:K,"Majeur")</f>
        <v>10</v>
      </c>
      <c r="D76" s="71">
        <f ca="1">SUMIFS(Grille!Q:Q,Grille!A:A,Grille_HT1!A76,Grille!C:C,Grille_HT1!B76,Grille!K:K,"Majeur")</f>
        <v>10</v>
      </c>
      <c r="E76" s="71">
        <f ca="1">SUMIFS(Grille!N:N,Grille!A:A,Grille_HT1!A76,Grille!C:C,Grille_HT1!B76,Grille!K:K,"Majeur")</f>
        <v>0</v>
      </c>
      <c r="F76" s="72">
        <f t="shared" ca="1" si="13"/>
        <v>0</v>
      </c>
      <c r="G76" s="71">
        <f>SUMIFS(Grille!R:R,Grille!A:A,Grille_HT1!A76,Grille!C:C,Grille_HT1!B76,Grille!K:K,"Mineur")</f>
        <v>1</v>
      </c>
      <c r="H76" s="71">
        <f ca="1">SUMIFS(Grille!Q:Q,Grille!A:A,Grille_HT1!A76,Grille!C:C,Grille_HT1!B76,Grille!K:K,"Mineur")</f>
        <v>1</v>
      </c>
      <c r="I76" s="71">
        <f ca="1">SUMIFS(Grille!N:N,Grille!A:A,Grille_HT1!A76,Grille!C:C,Grille_HT1!B76,Grille!K:K,"Mineur")</f>
        <v>0</v>
      </c>
      <c r="J76" s="72">
        <f t="shared" ca="1" si="14"/>
        <v>0</v>
      </c>
      <c r="K76" s="71">
        <v>10</v>
      </c>
      <c r="L76" s="73">
        <f t="shared" ca="1" si="15"/>
        <v>0.10989010989010989</v>
      </c>
      <c r="M76" s="73">
        <f t="shared" ca="1" si="16"/>
        <v>0.14285714285714285</v>
      </c>
      <c r="N76" s="73">
        <f t="shared" ref="N76:N83" ca="1" si="22">IF(ISNUMBER(F76),F76*L76,F76)</f>
        <v>0</v>
      </c>
      <c r="O76" s="73">
        <f t="shared" ca="1" si="17"/>
        <v>0</v>
      </c>
      <c r="P76" s="73">
        <f t="shared" ref="P76:P83" ca="1" si="23">IF(ISNUMBER(J76),J76*M76,J76)</f>
        <v>0</v>
      </c>
      <c r="Q76" s="73">
        <f t="shared" ca="1" si="18"/>
        <v>0</v>
      </c>
      <c r="R76" s="77"/>
      <c r="S76" s="75"/>
      <c r="T76" s="75"/>
      <c r="U76" s="75"/>
      <c r="V76" s="76"/>
      <c r="W76" s="76"/>
      <c r="X76" s="76"/>
      <c r="Y76" s="134">
        <f>Y74+1</f>
        <v>58</v>
      </c>
    </row>
    <row r="77" spans="1:25" x14ac:dyDescent="0.3">
      <c r="A77" s="64" t="s">
        <v>757</v>
      </c>
      <c r="B77" s="64" t="s">
        <v>675</v>
      </c>
      <c r="C77" s="71">
        <f>SUMIFS(Grille!R:R,Grille!A:A,Grille_HT1!A77,Grille!C:C,Grille_HT1!B77,Grille!K:K,"Majeur")</f>
        <v>9</v>
      </c>
      <c r="D77" s="71">
        <f ca="1">SUMIFS(Grille!Q:Q,Grille!A:A,Grille_HT1!A77,Grille!C:C,Grille_HT1!B77,Grille!K:K,"Majeur")</f>
        <v>9</v>
      </c>
      <c r="E77" s="71">
        <f ca="1">SUMIFS(Grille!N:N,Grille!A:A,Grille_HT1!A77,Grille!C:C,Grille_HT1!B77,Grille!K:K,"Majeur")</f>
        <v>0</v>
      </c>
      <c r="F77" s="72">
        <f t="shared" ca="1" si="13"/>
        <v>0</v>
      </c>
      <c r="G77" s="71">
        <f>SUMIFS(Grille!R:R,Grille!A:A,Grille_HT1!A77,Grille!C:C,Grille_HT1!B77,Grille!K:K,"Mineur")</f>
        <v>4</v>
      </c>
      <c r="H77" s="71">
        <f ca="1">SUMIFS(Grille!Q:Q,Grille!A:A,Grille_HT1!A77,Grille!C:C,Grille_HT1!B77,Grille!K:K,"Mineur")</f>
        <v>4</v>
      </c>
      <c r="I77" s="71">
        <f ca="1">SUMIFS(Grille!N:N,Grille!A:A,Grille_HT1!A77,Grille!C:C,Grille_HT1!B77,Grille!K:K,"Mineur")</f>
        <v>0</v>
      </c>
      <c r="J77" s="72">
        <f t="shared" ca="1" si="14"/>
        <v>0</v>
      </c>
      <c r="K77" s="71">
        <v>10</v>
      </c>
      <c r="L77" s="73">
        <f t="shared" ca="1" si="15"/>
        <v>0.10989010989010989</v>
      </c>
      <c r="M77" s="73">
        <f t="shared" ca="1" si="16"/>
        <v>0.14285714285714285</v>
      </c>
      <c r="N77" s="73">
        <f t="shared" ca="1" si="22"/>
        <v>0</v>
      </c>
      <c r="O77" s="73">
        <f t="shared" ca="1" si="17"/>
        <v>0</v>
      </c>
      <c r="P77" s="73">
        <f t="shared" ca="1" si="23"/>
        <v>0</v>
      </c>
      <c r="Q77" s="73">
        <f t="shared" ca="1" si="18"/>
        <v>0</v>
      </c>
      <c r="R77" s="77"/>
      <c r="S77" s="75"/>
      <c r="T77" s="75"/>
      <c r="U77" s="75"/>
      <c r="V77" s="76"/>
      <c r="W77" s="76"/>
      <c r="X77" s="76"/>
      <c r="Y77" s="134">
        <f t="shared" si="19"/>
        <v>59</v>
      </c>
    </row>
    <row r="78" spans="1:25" x14ac:dyDescent="0.3">
      <c r="A78" s="64" t="s">
        <v>757</v>
      </c>
      <c r="B78" s="64" t="s">
        <v>759</v>
      </c>
      <c r="C78" s="71">
        <f>SUMIFS(Grille!R:R,Grille!A:A,Grille_HT1!A78,Grille!C:C,Grille_HT1!B78,Grille!K:K,"Majeur")</f>
        <v>22</v>
      </c>
      <c r="D78" s="71">
        <f ca="1">SUMIFS(Grille!Q:Q,Grille!A:A,Grille_HT1!A78,Grille!C:C,Grille_HT1!B78,Grille!K:K,"Majeur")</f>
        <v>22</v>
      </c>
      <c r="E78" s="71">
        <f ca="1">SUMIFS(Grille!N:N,Grille!A:A,Grille_HT1!A78,Grille!C:C,Grille_HT1!B78,Grille!K:K,"Majeur")</f>
        <v>0</v>
      </c>
      <c r="F78" s="72">
        <f t="shared" ca="1" si="13"/>
        <v>0</v>
      </c>
      <c r="G78" s="71">
        <f>SUMIFS(Grille!R:R,Grille!A:A,Grille_HT1!A78,Grille!C:C,Grille_HT1!B78,Grille!K:K,"Mineur")</f>
        <v>3</v>
      </c>
      <c r="H78" s="71">
        <f ca="1">SUMIFS(Grille!Q:Q,Grille!A:A,Grille_HT1!A78,Grille!C:C,Grille_HT1!B78,Grille!K:K,"Mineur")</f>
        <v>3</v>
      </c>
      <c r="I78" s="71">
        <f ca="1">SUMIFS(Grille!N:N,Grille!A:A,Grille_HT1!A78,Grille!C:C,Grille_HT1!B78,Grille!K:K,"Mineur")</f>
        <v>0</v>
      </c>
      <c r="J78" s="72">
        <f t="shared" ca="1" si="14"/>
        <v>0</v>
      </c>
      <c r="K78" s="71">
        <v>20</v>
      </c>
      <c r="L78" s="73">
        <f t="shared" ca="1" si="15"/>
        <v>0.21978021978021978</v>
      </c>
      <c r="M78" s="73">
        <f t="shared" ca="1" si="16"/>
        <v>0.2857142857142857</v>
      </c>
      <c r="N78" s="73">
        <f t="shared" ca="1" si="22"/>
        <v>0</v>
      </c>
      <c r="O78" s="73">
        <f t="shared" ca="1" si="17"/>
        <v>0</v>
      </c>
      <c r="P78" s="73">
        <f t="shared" ca="1" si="23"/>
        <v>0</v>
      </c>
      <c r="Q78" s="73">
        <f t="shared" ca="1" si="18"/>
        <v>0</v>
      </c>
      <c r="R78" s="77"/>
      <c r="S78" s="75"/>
      <c r="T78" s="75"/>
      <c r="U78" s="75"/>
      <c r="V78" s="76"/>
      <c r="W78" s="76"/>
      <c r="X78" s="76"/>
      <c r="Y78" s="134">
        <f t="shared" si="19"/>
        <v>60</v>
      </c>
    </row>
    <row r="79" spans="1:25" x14ac:dyDescent="0.3">
      <c r="A79" s="64" t="s">
        <v>757</v>
      </c>
      <c r="B79" s="64" t="s">
        <v>761</v>
      </c>
      <c r="C79" s="71">
        <f>SUMIFS(Grille!R:R,Grille!A:A,Grille_HT1!A79,Grille!C:C,Grille_HT1!B79,Grille!K:K,"Majeur")</f>
        <v>0</v>
      </c>
      <c r="D79" s="71">
        <f>SUMIFS(Grille!Q:Q,Grille!A:A,Grille_HT1!A79,Grille!C:C,Grille_HT1!B79,Grille!K:K,"Majeur")</f>
        <v>0</v>
      </c>
      <c r="E79" s="71">
        <f>SUMIFS(Grille!N:N,Grille!A:A,Grille_HT1!A79,Grille!C:C,Grille_HT1!B79,Grille!K:K,"Majeur")</f>
        <v>0</v>
      </c>
      <c r="F79" s="72" t="str">
        <f t="shared" si="13"/>
        <v>Non appliqué</v>
      </c>
      <c r="G79" s="71">
        <f>SUMIFS(Grille!R:R,Grille!A:A,Grille_HT1!A79,Grille!C:C,Grille_HT1!B79,Grille!K:K,"Mineur")</f>
        <v>0</v>
      </c>
      <c r="H79" s="71">
        <f>SUMIFS(Grille!Q:Q,Grille!A:A,Grille_HT1!A79,Grille!C:C,Grille_HT1!B79,Grille!K:K,"Mineur")</f>
        <v>0</v>
      </c>
      <c r="I79" s="71">
        <f>SUMIFS(Grille!N:N,Grille!A:A,Grille_HT1!A79,Grille!C:C,Grille_HT1!B79,Grille!K:K,"Mineur")</f>
        <v>0</v>
      </c>
      <c r="J79" s="72" t="str">
        <f t="shared" si="14"/>
        <v>Non appliqué</v>
      </c>
      <c r="K79" s="71">
        <v>10</v>
      </c>
      <c r="L79" s="73" t="str">
        <f t="shared" si="15"/>
        <v>Non appliqué</v>
      </c>
      <c r="M79" s="73" t="str">
        <f t="shared" si="16"/>
        <v>Non appliqué</v>
      </c>
      <c r="N79" s="73" t="str">
        <f t="shared" si="22"/>
        <v>Non appliqué</v>
      </c>
      <c r="O79" s="73">
        <f t="shared" ca="1" si="17"/>
        <v>0</v>
      </c>
      <c r="P79" s="73" t="str">
        <f t="shared" si="23"/>
        <v>Non appliqué</v>
      </c>
      <c r="Q79" s="73">
        <f t="shared" ca="1" si="18"/>
        <v>0</v>
      </c>
      <c r="R79" s="77"/>
      <c r="S79" s="75"/>
      <c r="T79" s="75"/>
      <c r="U79" s="75"/>
      <c r="V79" s="76"/>
      <c r="W79" s="76"/>
      <c r="X79" s="76"/>
      <c r="Y79" s="134">
        <f t="shared" si="19"/>
        <v>61</v>
      </c>
    </row>
    <row r="80" spans="1:25" ht="25.2" x14ac:dyDescent="0.3">
      <c r="A80" s="64" t="s">
        <v>757</v>
      </c>
      <c r="B80" s="64" t="s">
        <v>762</v>
      </c>
      <c r="C80" s="71">
        <f>SUMIFS(Grille!R:R,Grille!A:A,Grille_HT1!A80,Grille!C:C,Grille_HT1!B80,Grille!K:K,"Majeur")</f>
        <v>10</v>
      </c>
      <c r="D80" s="71">
        <f ca="1">SUMIFS(Grille!Q:Q,Grille!A:A,Grille_HT1!A80,Grille!C:C,Grille_HT1!B80,Grille!K:K,"Majeur")</f>
        <v>10</v>
      </c>
      <c r="E80" s="71">
        <f ca="1">SUMIFS(Grille!N:N,Grille!A:A,Grille_HT1!A80,Grille!C:C,Grille_HT1!B80,Grille!K:K,"Majeur")</f>
        <v>0</v>
      </c>
      <c r="F80" s="72">
        <f t="shared" ca="1" si="13"/>
        <v>0</v>
      </c>
      <c r="G80" s="71">
        <f>SUMIFS(Grille!R:R,Grille!A:A,Grille_HT1!A80,Grille!C:C,Grille_HT1!B80,Grille!K:K,"Mineur")</f>
        <v>0</v>
      </c>
      <c r="H80" s="71">
        <f>SUMIFS(Grille!Q:Q,Grille!A:A,Grille_HT1!A80,Grille!C:C,Grille_HT1!B80,Grille!K:K,"Mineur")</f>
        <v>0</v>
      </c>
      <c r="I80" s="71">
        <f>SUMIFS(Grille!N:N,Grille!A:A,Grille_HT1!A80,Grille!C:C,Grille_HT1!B80,Grille!K:K,"Mineur")</f>
        <v>0</v>
      </c>
      <c r="J80" s="72" t="str">
        <f t="shared" si="14"/>
        <v>Non appliqué</v>
      </c>
      <c r="K80" s="71">
        <v>10</v>
      </c>
      <c r="L80" s="73">
        <f t="shared" ca="1" si="15"/>
        <v>0.10989010989010989</v>
      </c>
      <c r="M80" s="73" t="str">
        <f t="shared" si="16"/>
        <v>Non appliqué</v>
      </c>
      <c r="N80" s="73">
        <f t="shared" ca="1" si="22"/>
        <v>0</v>
      </c>
      <c r="O80" s="73">
        <f t="shared" ca="1" si="17"/>
        <v>0</v>
      </c>
      <c r="P80" s="73" t="str">
        <f t="shared" si="23"/>
        <v>Non appliqué</v>
      </c>
      <c r="Q80" s="73">
        <f t="shared" ca="1" si="18"/>
        <v>0</v>
      </c>
      <c r="R80" s="77"/>
      <c r="S80" s="75"/>
      <c r="T80" s="75"/>
      <c r="U80" s="75"/>
      <c r="V80" s="76"/>
      <c r="W80" s="76"/>
      <c r="X80" s="76"/>
      <c r="Y80" s="134">
        <f t="shared" si="19"/>
        <v>62</v>
      </c>
    </row>
    <row r="81" spans="1:25" x14ac:dyDescent="0.3">
      <c r="A81" s="64" t="s">
        <v>757</v>
      </c>
      <c r="B81" s="64" t="s">
        <v>763</v>
      </c>
      <c r="C81" s="71">
        <f>SUMIFS(Grille!R:R,Grille!A:A,Grille_HT1!A81,Grille!C:C,Grille_HT1!B81,Grille!K:K,"Majeur")</f>
        <v>12</v>
      </c>
      <c r="D81" s="71">
        <f ca="1">SUMIFS(Grille!Q:Q,Grille!A:A,Grille_HT1!A81,Grille!C:C,Grille_HT1!B81,Grille!K:K,"Majeur")</f>
        <v>12</v>
      </c>
      <c r="E81" s="71">
        <f ca="1">SUMIFS(Grille!N:N,Grille!A:A,Grille_HT1!A81,Grille!C:C,Grille_HT1!B81,Grille!K:K,"Majeur")</f>
        <v>0</v>
      </c>
      <c r="F81" s="72">
        <f t="shared" ca="1" si="13"/>
        <v>0</v>
      </c>
      <c r="G81" s="71">
        <f>SUMIFS(Grille!R:R,Grille!A:A,Grille_HT1!A81,Grille!C:C,Grille_HT1!B81,Grille!K:K,"Mineur")</f>
        <v>0</v>
      </c>
      <c r="H81" s="71">
        <f>SUMIFS(Grille!Q:Q,Grille!A:A,Grille_HT1!A81,Grille!C:C,Grille_HT1!B81,Grille!K:K,"Mineur")</f>
        <v>0</v>
      </c>
      <c r="I81" s="71">
        <f>SUMIFS(Grille!N:N,Grille!A:A,Grille_HT1!A81,Grille!C:C,Grille_HT1!B81,Grille!K:K,"Mineur")</f>
        <v>0</v>
      </c>
      <c r="J81" s="72" t="str">
        <f t="shared" si="14"/>
        <v>Non appliqué</v>
      </c>
      <c r="K81" s="71">
        <v>11</v>
      </c>
      <c r="L81" s="73">
        <f t="shared" ca="1" si="15"/>
        <v>0.12087912087912088</v>
      </c>
      <c r="M81" s="73" t="str">
        <f t="shared" si="16"/>
        <v>Non appliqué</v>
      </c>
      <c r="N81" s="73">
        <f ca="1">IF(ISNUMBER(F81),F81*L81,F81)</f>
        <v>0</v>
      </c>
      <c r="O81" s="73">
        <f t="shared" ca="1" si="17"/>
        <v>0</v>
      </c>
      <c r="P81" s="73" t="str">
        <f>IF(ISNUMBER(J81),J81*M81,J81)</f>
        <v>Non appliqué</v>
      </c>
      <c r="Q81" s="73">
        <f t="shared" ca="1" si="18"/>
        <v>0</v>
      </c>
      <c r="R81" s="77"/>
      <c r="S81" s="75"/>
      <c r="T81" s="75"/>
      <c r="U81" s="75"/>
      <c r="V81" s="76"/>
      <c r="W81" s="76"/>
      <c r="X81" s="76"/>
      <c r="Y81" s="134">
        <f t="shared" si="19"/>
        <v>63</v>
      </c>
    </row>
    <row r="82" spans="1:25" x14ac:dyDescent="0.3">
      <c r="A82" s="64" t="s">
        <v>757</v>
      </c>
      <c r="B82" s="64" t="s">
        <v>765</v>
      </c>
      <c r="C82" s="71">
        <f>SUMIFS(Grille!R:R,Grille!A:A,Grille_HT1!A82,Grille!C:C,Grille_HT1!B82,Grille!K:K,"Majeur")</f>
        <v>4</v>
      </c>
      <c r="D82" s="71">
        <f ca="1">SUMIFS(Grille!Q:Q,Grille!A:A,Grille_HT1!A82,Grille!C:C,Grille_HT1!B82,Grille!K:K,"Majeur")</f>
        <v>4</v>
      </c>
      <c r="E82" s="71">
        <f ca="1">SUMIFS(Grille!N:N,Grille!A:A,Grille_HT1!A82,Grille!C:C,Grille_HT1!B82,Grille!K:K,"Majeur")</f>
        <v>0</v>
      </c>
      <c r="F82" s="72">
        <f t="shared" ca="1" si="13"/>
        <v>0</v>
      </c>
      <c r="G82" s="71">
        <f>SUMIFS(Grille!R:R,Grille!A:A,Grille_HT1!A82,Grille!C:C,Grille_HT1!B82,Grille!K:K,"Mineur")</f>
        <v>1</v>
      </c>
      <c r="H82" s="71">
        <f ca="1">SUMIFS(Grille!Q:Q,Grille!A:A,Grille_HT1!A82,Grille!C:C,Grille_HT1!B82,Grille!K:K,"Mineur")</f>
        <v>1</v>
      </c>
      <c r="I82" s="71">
        <f ca="1">SUMIFS(Grille!N:N,Grille!A:A,Grille_HT1!A82,Grille!C:C,Grille_HT1!B82,Grille!K:K,"Mineur")</f>
        <v>0</v>
      </c>
      <c r="J82" s="72">
        <f t="shared" ca="1" si="14"/>
        <v>0</v>
      </c>
      <c r="K82" s="71">
        <v>10</v>
      </c>
      <c r="L82" s="73">
        <f t="shared" ca="1" si="15"/>
        <v>0.10989010989010989</v>
      </c>
      <c r="M82" s="73">
        <f t="shared" ca="1" si="16"/>
        <v>0.14285714285714285</v>
      </c>
      <c r="N82" s="73">
        <f t="shared" ca="1" si="22"/>
        <v>0</v>
      </c>
      <c r="O82" s="73">
        <f t="shared" ca="1" si="17"/>
        <v>0</v>
      </c>
      <c r="P82" s="73">
        <f t="shared" ca="1" si="23"/>
        <v>0</v>
      </c>
      <c r="Q82" s="73">
        <f t="shared" ca="1" si="18"/>
        <v>0</v>
      </c>
      <c r="R82" s="77"/>
      <c r="S82" s="75"/>
      <c r="T82" s="75"/>
      <c r="U82" s="75"/>
      <c r="V82" s="76"/>
      <c r="W82" s="76"/>
      <c r="X82" s="76"/>
      <c r="Y82" s="134">
        <f t="shared" si="19"/>
        <v>64</v>
      </c>
    </row>
    <row r="83" spans="1:25" x14ac:dyDescent="0.3">
      <c r="A83" s="64" t="s">
        <v>757</v>
      </c>
      <c r="B83" s="64" t="s">
        <v>766</v>
      </c>
      <c r="C83" s="71">
        <f>SUMIFS(Grille!R:R,Grille!A:A,Grille_HT1!A83,Grille!C:C,Grille_HT1!B83,Grille!K:K,"Majeur")</f>
        <v>10</v>
      </c>
      <c r="D83" s="71">
        <f ca="1">SUMIFS(Grille!Q:Q,Grille!A:A,Grille_HT1!A83,Grille!C:C,Grille_HT1!B83,Grille!K:K,"Majeur")</f>
        <v>10</v>
      </c>
      <c r="E83" s="71">
        <f ca="1">SUMIFS(Grille!N:N,Grille!A:A,Grille_HT1!A83,Grille!C:C,Grille_HT1!B83,Grille!K:K,"Majeur")</f>
        <v>0</v>
      </c>
      <c r="F83" s="72">
        <f t="shared" ca="1" si="13"/>
        <v>0</v>
      </c>
      <c r="G83" s="71">
        <f>SUMIFS(Grille!R:R,Grille!A:A,Grille_HT1!A83,Grille!C:C,Grille_HT1!B83,Grille!K:K,"Mineur")</f>
        <v>1</v>
      </c>
      <c r="H83" s="71">
        <f ca="1">SUMIFS(Grille!Q:Q,Grille!A:A,Grille_HT1!A83,Grille!C:C,Grille_HT1!B83,Grille!K:K,"Mineur")</f>
        <v>1</v>
      </c>
      <c r="I83" s="71">
        <f ca="1">SUMIFS(Grille!N:N,Grille!A:A,Grille_HT1!A83,Grille!C:C,Grille_HT1!B83,Grille!K:K,"Mineur")</f>
        <v>0</v>
      </c>
      <c r="J83" s="72">
        <f t="shared" ca="1" si="14"/>
        <v>0</v>
      </c>
      <c r="K83" s="71">
        <v>20</v>
      </c>
      <c r="L83" s="73">
        <f t="shared" ca="1" si="15"/>
        <v>0.21978021978021978</v>
      </c>
      <c r="M83" s="73">
        <f t="shared" ca="1" si="16"/>
        <v>0.2857142857142857</v>
      </c>
      <c r="N83" s="73">
        <f t="shared" ca="1" si="22"/>
        <v>0</v>
      </c>
      <c r="O83" s="73">
        <f t="shared" ca="1" si="17"/>
        <v>0</v>
      </c>
      <c r="P83" s="73">
        <f t="shared" ca="1" si="23"/>
        <v>0</v>
      </c>
      <c r="Q83" s="73">
        <f t="shared" ca="1" si="18"/>
        <v>0</v>
      </c>
      <c r="R83" s="77"/>
      <c r="S83" s="75"/>
      <c r="T83" s="75"/>
      <c r="U83" s="75"/>
      <c r="V83" s="76"/>
      <c r="W83" s="76"/>
      <c r="X83" s="76"/>
      <c r="Y83" s="134">
        <f t="shared" si="19"/>
        <v>65</v>
      </c>
    </row>
    <row r="84" spans="1:25" x14ac:dyDescent="0.3">
      <c r="A84" s="4"/>
      <c r="B84" s="4" t="str">
        <f>A85</f>
        <v>Personnel</v>
      </c>
      <c r="C84" s="5"/>
      <c r="D84" s="5"/>
      <c r="E84" s="5"/>
      <c r="F84" s="5"/>
      <c r="G84" s="9"/>
      <c r="H84" s="9"/>
      <c r="I84" s="9"/>
      <c r="J84" s="6"/>
      <c r="K84" s="5"/>
      <c r="L84" s="5"/>
      <c r="M84" s="5"/>
      <c r="N84" s="6"/>
      <c r="O84" s="6"/>
      <c r="P84" s="6"/>
      <c r="Q84" s="6"/>
      <c r="R84" s="70">
        <v>2.5</v>
      </c>
      <c r="S84" s="7">
        <f t="shared" ca="1" si="20"/>
        <v>2.5000000000000001E-2</v>
      </c>
      <c r="T84" s="7">
        <f ca="1">IFERROR(S84/SUM(S:S),S84)</f>
        <v>4.3859649122807015E-2</v>
      </c>
      <c r="U84" s="7">
        <f ca="1">IFERROR(T84*O85,T84)</f>
        <v>0</v>
      </c>
      <c r="V84" s="7">
        <f t="shared" ca="1" si="21"/>
        <v>2.5000000000000001E-2</v>
      </c>
      <c r="W84" s="7">
        <f ca="1">IFERROR(V84/SUM(V:V),V84)</f>
        <v>4.1322314049586771E-2</v>
      </c>
      <c r="X84" s="7">
        <f ca="1">IFERROR(W84*Q85,W84)</f>
        <v>0</v>
      </c>
    </row>
    <row r="85" spans="1:25" x14ac:dyDescent="0.3">
      <c r="A85" s="64" t="s">
        <v>767</v>
      </c>
      <c r="B85" s="64" t="s">
        <v>768</v>
      </c>
      <c r="C85" s="71">
        <f>SUMIFS(Grille!R:R,Grille!A:A,Grille_HT1!A85,Grille!C:C,Grille_HT1!B85,Grille!K:K,"Majeur")</f>
        <v>46</v>
      </c>
      <c r="D85" s="71">
        <f ca="1">SUMIFS(Grille!Q:Q,Grille!A:A,Grille_HT1!A85,Grille!C:C,Grille_HT1!B85,Grille!K:K,"Majeur")</f>
        <v>46</v>
      </c>
      <c r="E85" s="71">
        <f ca="1">SUMIFS(Grille!N:N,Grille!A:A,Grille_HT1!A85,Grille!C:C,Grille_HT1!B85,Grille!K:K,"Majeur")</f>
        <v>0</v>
      </c>
      <c r="F85" s="72">
        <f t="shared" ca="1" si="13"/>
        <v>0</v>
      </c>
      <c r="G85" s="71">
        <f>SUMIFS(Grille!R:R,Grille!A:A,Grille_HT1!A85,Grille!C:C,Grille_HT1!B85,Grille!K:K,"Mineur")</f>
        <v>4</v>
      </c>
      <c r="H85" s="71">
        <f ca="1">SUMIFS(Grille!Q:Q,Grille!A:A,Grille_HT1!A85,Grille!C:C,Grille_HT1!B85,Grille!K:K,"Mineur")</f>
        <v>4</v>
      </c>
      <c r="I85" s="71">
        <f ca="1">SUMIFS(Grille!N:N,Grille!A:A,Grille_HT1!A85,Grille!C:C,Grille_HT1!B85,Grille!K:K,"Mineur")</f>
        <v>0</v>
      </c>
      <c r="J85" s="72">
        <f t="shared" ca="1" si="14"/>
        <v>0</v>
      </c>
      <c r="K85" s="71">
        <v>60</v>
      </c>
      <c r="L85" s="73">
        <f t="shared" ca="1" si="15"/>
        <v>0.66666666666666663</v>
      </c>
      <c r="M85" s="73">
        <f t="shared" ca="1" si="16"/>
        <v>0.8571428571428571</v>
      </c>
      <c r="N85" s="73">
        <f ca="1">IF(ISNUMBER(F85),F85*L85,F85)</f>
        <v>0</v>
      </c>
      <c r="O85" s="73">
        <f t="shared" ca="1" si="17"/>
        <v>0</v>
      </c>
      <c r="P85" s="73">
        <f ca="1">IF(ISNUMBER(J85),J85*M85,J85)</f>
        <v>0</v>
      </c>
      <c r="Q85" s="73">
        <f t="shared" ca="1" si="18"/>
        <v>0</v>
      </c>
      <c r="R85" s="77"/>
      <c r="S85" s="75"/>
      <c r="T85" s="75"/>
      <c r="U85" s="75"/>
      <c r="V85" s="76"/>
      <c r="W85" s="76"/>
      <c r="X85" s="76"/>
      <c r="Y85" s="134">
        <f>Y83+1</f>
        <v>66</v>
      </c>
    </row>
    <row r="86" spans="1:25" x14ac:dyDescent="0.3">
      <c r="A86" s="64" t="s">
        <v>767</v>
      </c>
      <c r="B86" s="64" t="s">
        <v>770</v>
      </c>
      <c r="C86" s="71">
        <f>SUMIFS(Grille!R:R,Grille!A:A,Grille_HT1!A86,Grille!C:C,Grille_HT1!B86,Grille!K:K,"Majeur")</f>
        <v>20</v>
      </c>
      <c r="D86" s="71">
        <f ca="1">SUMIFS(Grille!Q:Q,Grille!A:A,Grille_HT1!A86,Grille!C:C,Grille_HT1!B86,Grille!K:K,"Majeur")</f>
        <v>20</v>
      </c>
      <c r="E86" s="71">
        <f ca="1">SUMIFS(Grille!N:N,Grille!A:A,Grille_HT1!A86,Grille!C:C,Grille_HT1!B86,Grille!K:K,"Majeur")</f>
        <v>0</v>
      </c>
      <c r="F86" s="72">
        <f t="shared" ca="1" si="13"/>
        <v>0</v>
      </c>
      <c r="G86" s="71">
        <f>SUMIFS(Grille!R:R,Grille!A:A,Grille_HT1!A86,Grille!C:C,Grille_HT1!B86,Grille!K:K,"Mineur")</f>
        <v>0</v>
      </c>
      <c r="H86" s="71">
        <f>SUMIFS(Grille!Q:Q,Grille!A:A,Grille_HT1!A86,Grille!C:C,Grille_HT1!B86,Grille!K:K,"Mineur")</f>
        <v>0</v>
      </c>
      <c r="I86" s="71">
        <f>SUMIFS(Grille!N:N,Grille!A:A,Grille_HT1!A86,Grille!C:C,Grille_HT1!B86,Grille!K:K,"Mineur")</f>
        <v>0</v>
      </c>
      <c r="J86" s="72" t="str">
        <f t="shared" si="14"/>
        <v>Non appliqué</v>
      </c>
      <c r="K86" s="71">
        <v>30</v>
      </c>
      <c r="L86" s="73">
        <f t="shared" ca="1" si="15"/>
        <v>0.33333333333333331</v>
      </c>
      <c r="M86" s="73" t="str">
        <f t="shared" si="16"/>
        <v>Non appliqué</v>
      </c>
      <c r="N86" s="73">
        <f ca="1">IF(ISNUMBER(F86),F86*L86,F86)</f>
        <v>0</v>
      </c>
      <c r="O86" s="73">
        <f t="shared" ca="1" si="17"/>
        <v>0</v>
      </c>
      <c r="P86" s="73" t="str">
        <f>IF(ISNUMBER(J86),J86*M86,J86)</f>
        <v>Non appliqué</v>
      </c>
      <c r="Q86" s="73">
        <f t="shared" ca="1" si="18"/>
        <v>0</v>
      </c>
      <c r="R86" s="77"/>
      <c r="S86" s="75"/>
      <c r="T86" s="75"/>
      <c r="U86" s="75"/>
      <c r="V86" s="76"/>
      <c r="W86" s="76"/>
      <c r="X86" s="76"/>
      <c r="Y86" s="134">
        <f t="shared" si="19"/>
        <v>67</v>
      </c>
    </row>
    <row r="87" spans="1:25" ht="25.2" x14ac:dyDescent="0.3">
      <c r="A87" s="64" t="s">
        <v>767</v>
      </c>
      <c r="B87" s="64" t="s">
        <v>772</v>
      </c>
      <c r="C87" s="71">
        <f>SUMIFS(Grille!R:R,Grille!A:A,Grille_HT1!A87,Grille!C:C,Grille_HT1!B87,Grille!K:K,"Majeur")</f>
        <v>0</v>
      </c>
      <c r="D87" s="71">
        <f>SUMIFS(Grille!Q:Q,Grille!A:A,Grille_HT1!A87,Grille!C:C,Grille_HT1!B87,Grille!K:K,"Majeur")</f>
        <v>0</v>
      </c>
      <c r="E87" s="71">
        <f>SUMIFS(Grille!N:N,Grille!A:A,Grille_HT1!A87,Grille!C:C,Grille_HT1!B87,Grille!K:K,"Majeur")</f>
        <v>0</v>
      </c>
      <c r="F87" s="72" t="str">
        <f t="shared" si="13"/>
        <v>Non appliqué</v>
      </c>
      <c r="G87" s="71">
        <f>SUMIFS(Grille!R:R,Grille!A:A,Grille_HT1!A87,Grille!C:C,Grille_HT1!B87,Grille!K:K,"Mineur")</f>
        <v>3</v>
      </c>
      <c r="H87" s="71">
        <f ca="1">SUMIFS(Grille!Q:Q,Grille!A:A,Grille_HT1!A87,Grille!C:C,Grille_HT1!B87,Grille!K:K,"Mineur")</f>
        <v>3</v>
      </c>
      <c r="I87" s="71">
        <f ca="1">SUMIFS(Grille!N:N,Grille!A:A,Grille_HT1!A87,Grille!C:C,Grille_HT1!B87,Grille!K:K,"Mineur")</f>
        <v>0</v>
      </c>
      <c r="J87" s="72">
        <f t="shared" ca="1" si="14"/>
        <v>0</v>
      </c>
      <c r="K87" s="71">
        <v>10</v>
      </c>
      <c r="L87" s="73" t="str">
        <f t="shared" si="15"/>
        <v>Non appliqué</v>
      </c>
      <c r="M87" s="73">
        <f t="shared" ca="1" si="16"/>
        <v>0.14285714285714285</v>
      </c>
      <c r="N87" s="73" t="str">
        <f>IF(ISNUMBER(F87),F87*L87,F87)</f>
        <v>Non appliqué</v>
      </c>
      <c r="O87" s="73">
        <f t="shared" ca="1" si="17"/>
        <v>0</v>
      </c>
      <c r="P87" s="73">
        <f ca="1">IF(ISNUMBER(J87),J87*M87,J87)</f>
        <v>0</v>
      </c>
      <c r="Q87" s="73">
        <f t="shared" ca="1" si="18"/>
        <v>0</v>
      </c>
      <c r="R87" s="77"/>
      <c r="S87" s="75"/>
      <c r="T87" s="75"/>
      <c r="U87" s="75"/>
      <c r="V87" s="76"/>
      <c r="W87" s="76"/>
      <c r="X87" s="76"/>
      <c r="Y87" s="134">
        <f t="shared" si="19"/>
        <v>68</v>
      </c>
    </row>
    <row r="88" spans="1:25" ht="25.2" x14ac:dyDescent="0.3">
      <c r="A88" s="4"/>
      <c r="B88" s="4" t="str">
        <f>A89</f>
        <v>Electricité, eau et assainissement</v>
      </c>
      <c r="C88" s="5"/>
      <c r="D88" s="5"/>
      <c r="E88" s="5"/>
      <c r="F88" s="5"/>
      <c r="G88" s="9"/>
      <c r="H88" s="9"/>
      <c r="I88" s="9"/>
      <c r="J88" s="6"/>
      <c r="K88" s="5"/>
      <c r="L88" s="5"/>
      <c r="M88" s="5"/>
      <c r="N88" s="6"/>
      <c r="O88" s="6"/>
      <c r="P88" s="6"/>
      <c r="Q88" s="6"/>
      <c r="R88" s="70">
        <v>2.5</v>
      </c>
      <c r="S88" s="7">
        <f t="shared" ca="1" si="20"/>
        <v>2.5000000000000001E-2</v>
      </c>
      <c r="T88" s="7">
        <f ca="1">IFERROR(S88/SUM(S:S),S88)</f>
        <v>4.3859649122807015E-2</v>
      </c>
      <c r="U88" s="7">
        <f ca="1">IFERROR(T88*O89,T88)</f>
        <v>0</v>
      </c>
      <c r="V88" s="7">
        <f t="shared" ca="1" si="21"/>
        <v>2.5000000000000001E-2</v>
      </c>
      <c r="W88" s="7">
        <f ca="1">IFERROR(V88/SUM(V:V),V88)</f>
        <v>4.1322314049586771E-2</v>
      </c>
      <c r="X88" s="7">
        <f ca="1">IFERROR(W88*Q89,W88)</f>
        <v>0</v>
      </c>
    </row>
    <row r="89" spans="1:25" ht="25.2" x14ac:dyDescent="0.3">
      <c r="A89" s="64" t="s">
        <v>773</v>
      </c>
      <c r="B89" s="64" t="s">
        <v>775</v>
      </c>
      <c r="C89" s="71">
        <f>SUMIFS(Grille!R:R,Grille!A:A,Grille_HT1!A89,Grille!C:C,Grille_HT1!B89,Grille!K:K,"Majeur")</f>
        <v>4</v>
      </c>
      <c r="D89" s="71">
        <f ca="1">SUMIFS(Grille!Q:Q,Grille!A:A,Grille_HT1!A89,Grille!C:C,Grille_HT1!B89,Grille!K:K,"Majeur")</f>
        <v>4</v>
      </c>
      <c r="E89" s="71">
        <f ca="1">SUMIFS(Grille!N:N,Grille!A:A,Grille_HT1!A89,Grille!C:C,Grille_HT1!B89,Grille!K:K,"Majeur")</f>
        <v>0</v>
      </c>
      <c r="F89" s="72">
        <f t="shared" ca="1" si="13"/>
        <v>0</v>
      </c>
      <c r="G89" s="71">
        <f>SUMIFS(Grille!R:R,Grille!A:A,Grille_HT1!A89,Grille!C:C,Grille_HT1!B89,Grille!K:K,"Mineur")</f>
        <v>5</v>
      </c>
      <c r="H89" s="71">
        <f ca="1">SUMIFS(Grille!Q:Q,Grille!A:A,Grille_HT1!A89,Grille!C:C,Grille_HT1!B89,Grille!K:K,"Mineur")</f>
        <v>5</v>
      </c>
      <c r="I89" s="71">
        <f ca="1">SUMIFS(Grille!N:N,Grille!A:A,Grille_HT1!A89,Grille!C:C,Grille_HT1!B89,Grille!K:K,"Mineur")</f>
        <v>0</v>
      </c>
      <c r="J89" s="72">
        <f t="shared" ca="1" si="14"/>
        <v>0</v>
      </c>
      <c r="K89" s="71">
        <v>30</v>
      </c>
      <c r="L89" s="73">
        <f t="shared" ca="1" si="15"/>
        <v>0.3</v>
      </c>
      <c r="M89" s="73">
        <f t="shared" ca="1" si="16"/>
        <v>0.3</v>
      </c>
      <c r="N89" s="73">
        <f ca="1">IF(ISNUMBER(F89),F89*L89,F89)</f>
        <v>0</v>
      </c>
      <c r="O89" s="73">
        <f t="shared" ca="1" si="17"/>
        <v>0</v>
      </c>
      <c r="P89" s="73">
        <f ca="1">IF(ISNUMBER(J89),J89*M89,J89)</f>
        <v>0</v>
      </c>
      <c r="Q89" s="73">
        <f t="shared" ca="1" si="18"/>
        <v>0</v>
      </c>
      <c r="R89" s="77"/>
      <c r="S89" s="75"/>
      <c r="T89" s="75"/>
      <c r="U89" s="75"/>
      <c r="V89" s="76"/>
      <c r="W89" s="76"/>
      <c r="X89" s="76"/>
      <c r="Y89" s="134">
        <f>Y87+1</f>
        <v>69</v>
      </c>
    </row>
    <row r="90" spans="1:25" ht="25.2" x14ac:dyDescent="0.3">
      <c r="A90" s="64" t="s">
        <v>773</v>
      </c>
      <c r="B90" s="64" t="s">
        <v>776</v>
      </c>
      <c r="C90" s="71">
        <f>SUMIFS(Grille!R:R,Grille!A:A,Grille_HT1!A90,Grille!C:C,Grille_HT1!B90,Grille!K:K,"Majeur")</f>
        <v>8</v>
      </c>
      <c r="D90" s="71">
        <f ca="1">SUMIFS(Grille!Q:Q,Grille!A:A,Grille_HT1!A90,Grille!C:C,Grille_HT1!B90,Grille!K:K,"Majeur")</f>
        <v>8</v>
      </c>
      <c r="E90" s="71">
        <f ca="1">SUMIFS(Grille!N:N,Grille!A:A,Grille_HT1!A90,Grille!C:C,Grille_HT1!B90,Grille!K:K,"Majeur")</f>
        <v>0</v>
      </c>
      <c r="F90" s="72">
        <f t="shared" ca="1" si="13"/>
        <v>0</v>
      </c>
      <c r="G90" s="71">
        <f>SUMIFS(Grille!R:R,Grille!A:A,Grille_HT1!A90,Grille!C:C,Grille_HT1!B90,Grille!K:K,"Mineur")</f>
        <v>2</v>
      </c>
      <c r="H90" s="71">
        <f ca="1">SUMIFS(Grille!Q:Q,Grille!A:A,Grille_HT1!A90,Grille!C:C,Grille_HT1!B90,Grille!K:K,"Mineur")</f>
        <v>2</v>
      </c>
      <c r="I90" s="71">
        <f ca="1">SUMIFS(Grille!N:N,Grille!A:A,Grille_HT1!A90,Grille!C:C,Grille_HT1!B90,Grille!K:K,"Mineur")</f>
        <v>0</v>
      </c>
      <c r="J90" s="72">
        <f t="shared" ca="1" si="14"/>
        <v>0</v>
      </c>
      <c r="K90" s="71">
        <v>30</v>
      </c>
      <c r="L90" s="73">
        <f t="shared" ca="1" si="15"/>
        <v>0.3</v>
      </c>
      <c r="M90" s="73">
        <f t="shared" ca="1" si="16"/>
        <v>0.3</v>
      </c>
      <c r="N90" s="73">
        <f ca="1">IF(ISNUMBER(F90),F90*L90,F90)</f>
        <v>0</v>
      </c>
      <c r="O90" s="73">
        <f t="shared" ca="1" si="17"/>
        <v>0</v>
      </c>
      <c r="P90" s="73">
        <f ca="1">IF(ISNUMBER(J90),J90*M90,J90)</f>
        <v>0</v>
      </c>
      <c r="Q90" s="73">
        <f t="shared" ca="1" si="18"/>
        <v>0</v>
      </c>
      <c r="R90" s="77"/>
      <c r="S90" s="75"/>
      <c r="T90" s="75"/>
      <c r="U90" s="75"/>
      <c r="V90" s="76"/>
      <c r="W90" s="76"/>
      <c r="X90" s="76"/>
      <c r="Y90" s="134">
        <f t="shared" si="19"/>
        <v>70</v>
      </c>
    </row>
    <row r="91" spans="1:25" ht="25.2" x14ac:dyDescent="0.3">
      <c r="A91" s="64" t="s">
        <v>773</v>
      </c>
      <c r="B91" s="64" t="s">
        <v>777</v>
      </c>
      <c r="C91" s="71">
        <f>SUMIFS(Grille!R:R,Grille!A:A,Grille_HT1!A91,Grille!C:C,Grille_HT1!B91,Grille!K:K,"Majeur")</f>
        <v>6</v>
      </c>
      <c r="D91" s="71">
        <f ca="1">SUMIFS(Grille!Q:Q,Grille!A:A,Grille_HT1!A91,Grille!C:C,Grille_HT1!B91,Grille!K:K,"Majeur")</f>
        <v>6</v>
      </c>
      <c r="E91" s="71">
        <f ca="1">SUMIFS(Grille!N:N,Grille!A:A,Grille_HT1!A91,Grille!C:C,Grille_HT1!B91,Grille!K:K,"Majeur")</f>
        <v>0</v>
      </c>
      <c r="F91" s="72">
        <f t="shared" ca="1" si="13"/>
        <v>0</v>
      </c>
      <c r="G91" s="71">
        <f>SUMIFS(Grille!R:R,Grille!A:A,Grille_HT1!A91,Grille!C:C,Grille_HT1!B91,Grille!K:K,"Mineur")</f>
        <v>1</v>
      </c>
      <c r="H91" s="71">
        <f ca="1">SUMIFS(Grille!Q:Q,Grille!A:A,Grille_HT1!A91,Grille!C:C,Grille_HT1!B91,Grille!K:K,"Mineur")</f>
        <v>1</v>
      </c>
      <c r="I91" s="71">
        <f ca="1">SUMIFS(Grille!N:N,Grille!A:A,Grille_HT1!A91,Grille!C:C,Grille_HT1!B91,Grille!K:K,"Mineur")</f>
        <v>0</v>
      </c>
      <c r="J91" s="72">
        <f t="shared" ca="1" si="14"/>
        <v>0</v>
      </c>
      <c r="K91" s="71">
        <v>40</v>
      </c>
      <c r="L91" s="73">
        <f t="shared" ca="1" si="15"/>
        <v>0.4</v>
      </c>
      <c r="M91" s="73">
        <f t="shared" ca="1" si="16"/>
        <v>0.4</v>
      </c>
      <c r="N91" s="73">
        <f ca="1">IF(ISNUMBER(F91),F91*L91,F91)</f>
        <v>0</v>
      </c>
      <c r="O91" s="73">
        <f t="shared" ca="1" si="17"/>
        <v>0</v>
      </c>
      <c r="P91" s="73">
        <f ca="1">IF(ISNUMBER(J91),J91*M91,J91)</f>
        <v>0</v>
      </c>
      <c r="Q91" s="73">
        <f t="shared" ca="1" si="18"/>
        <v>0</v>
      </c>
      <c r="R91" s="77"/>
      <c r="S91" s="75"/>
      <c r="T91" s="75"/>
      <c r="U91" s="75"/>
      <c r="V91" s="76"/>
      <c r="W91" s="76"/>
      <c r="X91" s="76"/>
      <c r="Y91" s="134">
        <f t="shared" si="19"/>
        <v>71</v>
      </c>
    </row>
    <row r="156" spans="1:1" x14ac:dyDescent="0.3">
      <c r="A156" s="8" t="s">
        <v>654</v>
      </c>
    </row>
    <row r="157" spans="1:1" x14ac:dyDescent="0.3">
      <c r="A157" s="8" t="s">
        <v>657</v>
      </c>
    </row>
    <row r="158" spans="1:1" x14ac:dyDescent="0.3">
      <c r="A158" s="8" t="s">
        <v>658</v>
      </c>
    </row>
    <row r="159" spans="1:1" x14ac:dyDescent="0.3">
      <c r="A159" s="8" t="s">
        <v>661</v>
      </c>
    </row>
    <row r="160" spans="1:1" x14ac:dyDescent="0.3">
      <c r="A160" s="8" t="s">
        <v>662</v>
      </c>
    </row>
    <row r="161" spans="1:1" x14ac:dyDescent="0.3">
      <c r="A161" s="8" t="s">
        <v>664</v>
      </c>
    </row>
    <row r="162" spans="1:1" x14ac:dyDescent="0.3">
      <c r="A162" s="8" t="s">
        <v>667</v>
      </c>
    </row>
    <row r="163" spans="1:1" x14ac:dyDescent="0.3">
      <c r="A163" s="8" t="s">
        <v>668</v>
      </c>
    </row>
    <row r="164" spans="1:1" x14ac:dyDescent="0.3">
      <c r="A164" s="8" t="s">
        <v>671</v>
      </c>
    </row>
    <row r="165" spans="1:1" x14ac:dyDescent="0.3">
      <c r="A165" s="8" t="s">
        <v>673</v>
      </c>
    </row>
    <row r="166" spans="1:1" x14ac:dyDescent="0.3">
      <c r="A166" s="8" t="s">
        <v>675</v>
      </c>
    </row>
    <row r="167" spans="1:1" x14ac:dyDescent="0.3">
      <c r="A167" s="8" t="s">
        <v>677</v>
      </c>
    </row>
    <row r="168" spans="1:1" x14ac:dyDescent="0.3">
      <c r="A168" s="8" t="s">
        <v>678</v>
      </c>
    </row>
    <row r="169" spans="1:1" x14ac:dyDescent="0.3">
      <c r="A169" s="8" t="s">
        <v>682</v>
      </c>
    </row>
    <row r="170" spans="1:1" x14ac:dyDescent="0.3">
      <c r="A170" s="8" t="s">
        <v>685</v>
      </c>
    </row>
    <row r="171" spans="1:1" x14ac:dyDescent="0.3">
      <c r="A171" s="8" t="s">
        <v>701</v>
      </c>
    </row>
    <row r="172" spans="1:1" x14ac:dyDescent="0.3">
      <c r="A172" s="8" t="s">
        <v>702</v>
      </c>
    </row>
    <row r="173" spans="1:1" x14ac:dyDescent="0.3">
      <c r="A173" s="8" t="s">
        <v>703</v>
      </c>
    </row>
    <row r="174" spans="1:1" x14ac:dyDescent="0.3">
      <c r="A174" s="8" t="s">
        <v>706</v>
      </c>
    </row>
    <row r="175" spans="1:1" x14ac:dyDescent="0.3">
      <c r="A175" s="8" t="s">
        <v>707</v>
      </c>
    </row>
    <row r="176" spans="1:1" x14ac:dyDescent="0.3">
      <c r="A176" s="8" t="s">
        <v>709</v>
      </c>
    </row>
    <row r="177" spans="1:1" x14ac:dyDescent="0.3">
      <c r="A177" s="8" t="s">
        <v>710</v>
      </c>
    </row>
    <row r="178" spans="1:1" x14ac:dyDescent="0.3">
      <c r="A178" s="8" t="s">
        <v>712</v>
      </c>
    </row>
    <row r="179" spans="1:1" x14ac:dyDescent="0.3">
      <c r="A179" s="8" t="s">
        <v>715</v>
      </c>
    </row>
    <row r="180" spans="1:1" x14ac:dyDescent="0.3">
      <c r="A180" s="8" t="s">
        <v>717</v>
      </c>
    </row>
    <row r="181" spans="1:1" x14ac:dyDescent="0.3">
      <c r="A181" s="8" t="s">
        <v>718</v>
      </c>
    </row>
    <row r="182" spans="1:1" x14ac:dyDescent="0.3">
      <c r="A182" s="8" t="s">
        <v>720</v>
      </c>
    </row>
    <row r="183" spans="1:1" x14ac:dyDescent="0.3">
      <c r="A183" s="8" t="s">
        <v>722</v>
      </c>
    </row>
    <row r="184" spans="1:1" x14ac:dyDescent="0.3">
      <c r="A184" s="8" t="s">
        <v>724</v>
      </c>
    </row>
    <row r="185" spans="1:1" x14ac:dyDescent="0.3">
      <c r="A185" s="8" t="s">
        <v>725</v>
      </c>
    </row>
    <row r="186" spans="1:1" x14ac:dyDescent="0.3">
      <c r="A186" s="8" t="s">
        <v>729</v>
      </c>
    </row>
    <row r="187" spans="1:1" x14ac:dyDescent="0.3">
      <c r="A187" s="8" t="s">
        <v>733</v>
      </c>
    </row>
    <row r="188" spans="1:1" x14ac:dyDescent="0.3">
      <c r="A188" s="8" t="s">
        <v>734</v>
      </c>
    </row>
    <row r="189" spans="1:1" x14ac:dyDescent="0.3">
      <c r="A189" s="8" t="s">
        <v>735</v>
      </c>
    </row>
    <row r="190" spans="1:1" x14ac:dyDescent="0.3">
      <c r="A190" s="8" t="s">
        <v>736</v>
      </c>
    </row>
    <row r="191" spans="1:1" x14ac:dyDescent="0.3">
      <c r="A191" s="8" t="s">
        <v>737</v>
      </c>
    </row>
    <row r="192" spans="1:1" x14ac:dyDescent="0.3">
      <c r="A192" s="8" t="s">
        <v>738</v>
      </c>
    </row>
    <row r="193" spans="1:1" x14ac:dyDescent="0.3">
      <c r="A193" s="8" t="s">
        <v>742</v>
      </c>
    </row>
    <row r="194" spans="1:1" x14ac:dyDescent="0.3">
      <c r="A194" s="8" t="s">
        <v>743</v>
      </c>
    </row>
    <row r="195" spans="1:1" x14ac:dyDescent="0.3">
      <c r="A195" s="8" t="s">
        <v>746</v>
      </c>
    </row>
    <row r="196" spans="1:1" x14ac:dyDescent="0.3">
      <c r="A196" s="8" t="s">
        <v>747</v>
      </c>
    </row>
    <row r="197" spans="1:1" x14ac:dyDescent="0.3">
      <c r="A197" s="8" t="s">
        <v>748</v>
      </c>
    </row>
    <row r="198" spans="1:1" x14ac:dyDescent="0.3">
      <c r="A198" s="8" t="s">
        <v>751</v>
      </c>
    </row>
    <row r="199" spans="1:1" x14ac:dyDescent="0.3">
      <c r="A199" s="8" t="s">
        <v>752</v>
      </c>
    </row>
    <row r="200" spans="1:1" x14ac:dyDescent="0.3">
      <c r="A200" s="8" t="s">
        <v>753</v>
      </c>
    </row>
    <row r="201" spans="1:1" x14ac:dyDescent="0.3">
      <c r="A201" s="8" t="s">
        <v>755</v>
      </c>
    </row>
    <row r="202" spans="1:1" x14ac:dyDescent="0.3">
      <c r="A202" s="8" t="s">
        <v>756</v>
      </c>
    </row>
    <row r="203" spans="1:1" x14ac:dyDescent="0.3">
      <c r="A203" s="8" t="s">
        <v>759</v>
      </c>
    </row>
    <row r="204" spans="1:1" x14ac:dyDescent="0.3">
      <c r="A204" s="8" t="s">
        <v>761</v>
      </c>
    </row>
    <row r="205" spans="1:1" x14ac:dyDescent="0.3">
      <c r="A205" s="8" t="s">
        <v>762</v>
      </c>
    </row>
    <row r="206" spans="1:1" x14ac:dyDescent="0.3">
      <c r="A206" s="8" t="s">
        <v>763</v>
      </c>
    </row>
    <row r="207" spans="1:1" x14ac:dyDescent="0.3">
      <c r="A207" s="8" t="s">
        <v>765</v>
      </c>
    </row>
    <row r="208" spans="1:1" x14ac:dyDescent="0.3">
      <c r="A208" s="8" t="s">
        <v>766</v>
      </c>
    </row>
    <row r="209" spans="1:1" x14ac:dyDescent="0.3">
      <c r="A209" s="8" t="s">
        <v>768</v>
      </c>
    </row>
    <row r="210" spans="1:1" x14ac:dyDescent="0.3">
      <c r="A210" s="8" t="s">
        <v>770</v>
      </c>
    </row>
    <row r="211" spans="1:1" x14ac:dyDescent="0.3">
      <c r="A211" s="8" t="s">
        <v>772</v>
      </c>
    </row>
    <row r="212" spans="1:1" x14ac:dyDescent="0.3">
      <c r="A212" s="8" t="s">
        <v>775</v>
      </c>
    </row>
    <row r="213" spans="1:1" x14ac:dyDescent="0.3">
      <c r="A213" s="8" t="s">
        <v>776</v>
      </c>
    </row>
    <row r="214" spans="1:1" x14ac:dyDescent="0.3">
      <c r="A214" s="8" t="s">
        <v>777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B67C-1489-4B56-9DA2-4FFFFBFC80F5}">
  <sheetPr codeName="Feuil1">
    <pageSetUpPr fitToPage="1"/>
  </sheetPr>
  <dimension ref="B2:M42"/>
  <sheetViews>
    <sheetView showGridLines="0" tabSelected="1" view="pageBreakPreview" zoomScale="60" zoomScaleNormal="88" zoomScalePageLayoutView="64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94" t="s">
        <v>828</v>
      </c>
      <c r="G3" s="194"/>
      <c r="H3" s="194"/>
      <c r="I3" s="194"/>
      <c r="J3" s="194"/>
      <c r="K3" s="194"/>
      <c r="L3" s="20"/>
      <c r="M3" s="23"/>
    </row>
    <row r="4" spans="2:13" ht="18" customHeight="1" x14ac:dyDescent="0.3">
      <c r="B4" s="20"/>
      <c r="C4" s="20"/>
      <c r="D4" s="20"/>
      <c r="E4" s="20"/>
      <c r="F4" s="194"/>
      <c r="G4" s="194"/>
      <c r="H4" s="194"/>
      <c r="I4" s="194"/>
      <c r="J4" s="194"/>
      <c r="K4" s="194"/>
      <c r="L4" s="20"/>
    </row>
    <row r="5" spans="2:13" x14ac:dyDescent="0.3">
      <c r="B5" s="20"/>
      <c r="C5" s="20"/>
      <c r="D5" s="20"/>
      <c r="E5" s="20"/>
      <c r="F5" s="194"/>
      <c r="G5" s="194"/>
      <c r="H5" s="194"/>
      <c r="I5" s="194"/>
      <c r="J5" s="194"/>
      <c r="K5" s="194"/>
      <c r="L5" s="20"/>
    </row>
    <row r="6" spans="2:13" ht="18" x14ac:dyDescent="0.4">
      <c r="B6" s="20"/>
      <c r="C6" s="21"/>
      <c r="D6" s="21"/>
      <c r="E6" s="28"/>
      <c r="F6" s="21"/>
      <c r="G6" s="21"/>
      <c r="H6" s="21"/>
      <c r="I6" s="20"/>
      <c r="J6" s="20"/>
      <c r="K6" s="21"/>
      <c r="L6" s="20"/>
      <c r="M6" s="24"/>
    </row>
    <row r="7" spans="2:13" ht="14.7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x14ac:dyDescent="0.3">
      <c r="B8" s="20"/>
      <c r="C8" s="20"/>
      <c r="D8" s="20"/>
      <c r="E8" s="28"/>
      <c r="F8" s="28"/>
      <c r="G8" s="28"/>
      <c r="H8" s="20"/>
      <c r="I8" s="20"/>
      <c r="J8" s="20"/>
      <c r="K8" s="20"/>
      <c r="L8" s="20"/>
    </row>
    <row r="9" spans="2:13" x14ac:dyDescent="0.3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2:13" x14ac:dyDescent="0.3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2:13" x14ac:dyDescent="0.3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3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2:13" x14ac:dyDescent="0.3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2:13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2:13" x14ac:dyDescent="0.3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2:13" x14ac:dyDescent="0.3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2:12" x14ac:dyDescent="0.3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2:12" x14ac:dyDescent="0.3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2:12" x14ac:dyDescent="0.3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2:12" x14ac:dyDescent="0.3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3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3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2:12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2" x14ac:dyDescent="0.3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2:12" x14ac:dyDescent="0.3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x14ac:dyDescent="0.3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2" x14ac:dyDescent="0.3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2:12" x14ac:dyDescent="0.3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2:12" x14ac:dyDescent="0.3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2:12" x14ac:dyDescent="0.3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2:12" x14ac:dyDescent="0.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 x14ac:dyDescent="0.3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 x14ac:dyDescent="0.3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2" x14ac:dyDescent="0.3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2:12" x14ac:dyDescent="0.3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2:12" x14ac:dyDescent="0.3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 x14ac:dyDescent="0.3">
      <c r="B38" s="29"/>
      <c r="C38" s="29"/>
      <c r="D38" s="29"/>
      <c r="E38" s="29"/>
      <c r="F38" s="31"/>
      <c r="G38" s="31"/>
      <c r="H38" s="31"/>
      <c r="I38" s="30"/>
      <c r="J38" s="30"/>
      <c r="K38" s="30"/>
      <c r="L38" s="30"/>
    </row>
    <row r="39" spans="2:12" x14ac:dyDescent="0.3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2" x14ac:dyDescent="0.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2:12" x14ac:dyDescent="0.3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sheetProtection sheet="1" objects="1" scenarios="1"/>
  <mergeCells count="1">
    <mergeCell ref="F3:K5"/>
  </mergeCells>
  <pageMargins left="0.25" right="0.25" top="0.75" bottom="0.75" header="0.3" footer="0.3"/>
  <pageSetup paperSize="9" scale="83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7CBF-F414-4309-ABA0-3439BAA25734}">
  <dimension ref="B2:K93"/>
  <sheetViews>
    <sheetView tabSelected="1" showWhiteSpace="0" view="pageBreakPreview" topLeftCell="A39" zoomScale="59" zoomScaleNormal="100" zoomScaleSheetLayoutView="175" zoomScalePageLayoutView="117" workbookViewId="0">
      <selection activeCell="E32" sqref="E32:F32"/>
    </sheetView>
  </sheetViews>
  <sheetFormatPr baseColWidth="10" defaultColWidth="11.6640625" defaultRowHeight="14.4" x14ac:dyDescent="0.3"/>
  <cols>
    <col min="1" max="1" width="3.77734375" style="19" customWidth="1"/>
    <col min="2" max="2" width="11.6640625" style="19" customWidth="1"/>
    <col min="3" max="3" width="11.6640625" style="19"/>
    <col min="4" max="4" width="11.33203125" style="19" customWidth="1"/>
    <col min="5" max="5" width="11.6640625" style="19" customWidth="1"/>
    <col min="6" max="6" width="11.6640625" style="19"/>
    <col min="7" max="7" width="11.33203125" style="19" customWidth="1"/>
    <col min="8" max="9" width="11.6640625" style="19"/>
    <col min="10" max="10" width="11.6640625" style="19" customWidth="1"/>
    <col min="11" max="11" width="3.77734375" style="19" customWidth="1"/>
    <col min="12" max="16384" width="11.6640625" style="19"/>
  </cols>
  <sheetData>
    <row r="2" spans="2:1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2:11" ht="18" customHeight="1" x14ac:dyDescent="0.3">
      <c r="B3" s="22"/>
      <c r="C3" s="22"/>
      <c r="D3" s="22"/>
      <c r="E3" s="235" t="s">
        <v>817</v>
      </c>
      <c r="F3" s="235"/>
      <c r="G3" s="235"/>
      <c r="H3" s="235"/>
      <c r="I3" s="235"/>
      <c r="J3" s="235"/>
      <c r="K3" s="23"/>
    </row>
    <row r="4" spans="2:11" ht="18" customHeight="1" x14ac:dyDescent="0.3">
      <c r="B4" s="20"/>
      <c r="C4" s="20"/>
      <c r="D4" s="20"/>
      <c r="E4" s="235"/>
      <c r="F4" s="235"/>
      <c r="G4" s="235"/>
      <c r="H4" s="235"/>
      <c r="I4" s="235"/>
      <c r="J4" s="235"/>
    </row>
    <row r="5" spans="2:11" x14ac:dyDescent="0.3">
      <c r="B5" s="20"/>
      <c r="C5" s="20"/>
      <c r="D5" s="20"/>
      <c r="E5" s="235"/>
      <c r="F5" s="235"/>
      <c r="G5" s="235"/>
      <c r="H5" s="235"/>
      <c r="I5" s="235"/>
      <c r="J5" s="235"/>
    </row>
    <row r="6" spans="2:11" ht="18" x14ac:dyDescent="0.4">
      <c r="B6" s="21"/>
      <c r="C6" s="21"/>
      <c r="D6" s="28"/>
      <c r="E6" s="21"/>
      <c r="F6" s="21"/>
      <c r="G6" s="21"/>
      <c r="H6" s="20"/>
      <c r="I6" s="20"/>
      <c r="J6" s="21"/>
      <c r="K6" s="24"/>
    </row>
    <row r="7" spans="2:11" ht="14.7" customHeight="1" x14ac:dyDescent="0.4">
      <c r="B7" s="29"/>
      <c r="C7" s="29"/>
      <c r="D7" s="29"/>
      <c r="E7" s="31"/>
      <c r="F7" s="31"/>
      <c r="G7" s="31"/>
      <c r="H7" s="30"/>
      <c r="I7" s="30"/>
      <c r="J7" s="30"/>
      <c r="K7" s="24"/>
    </row>
    <row r="8" spans="2:11" x14ac:dyDescent="0.3">
      <c r="D8" s="34"/>
      <c r="E8" s="34"/>
      <c r="F8" s="34"/>
    </row>
    <row r="9" spans="2:11" ht="14.4" customHeight="1" x14ac:dyDescent="0.3">
      <c r="D9" s="34"/>
      <c r="G9" s="239" t="s">
        <v>816</v>
      </c>
      <c r="H9" s="239"/>
    </row>
    <row r="10" spans="2:11" ht="14.4" customHeight="1" x14ac:dyDescent="0.3">
      <c r="B10" s="236"/>
      <c r="C10" s="236"/>
      <c r="D10" s="236"/>
      <c r="G10" s="239"/>
      <c r="H10" s="239"/>
    </row>
    <row r="11" spans="2:11" x14ac:dyDescent="0.3">
      <c r="E11" s="240"/>
      <c r="F11" s="240"/>
      <c r="G11" s="236"/>
      <c r="H11" s="236"/>
      <c r="I11" s="236"/>
      <c r="J11" s="236"/>
    </row>
    <row r="12" spans="2:11" x14ac:dyDescent="0.3">
      <c r="B12" s="147"/>
      <c r="C12" s="147"/>
      <c r="D12" s="147"/>
      <c r="E12" s="241">
        <f ca="1">Backend_5!N4</f>
        <v>0</v>
      </c>
      <c r="F12" s="148"/>
      <c r="G12" s="147"/>
      <c r="H12" s="147"/>
      <c r="I12" s="147"/>
      <c r="J12" s="241">
        <f ca="1">Backend_5!N4</f>
        <v>0</v>
      </c>
    </row>
    <row r="13" spans="2:11" x14ac:dyDescent="0.3">
      <c r="B13" s="147"/>
      <c r="C13" s="147"/>
      <c r="D13" s="147"/>
      <c r="E13" s="242"/>
      <c r="F13" s="148"/>
      <c r="G13" s="147"/>
      <c r="H13" s="147"/>
      <c r="I13" s="147"/>
      <c r="J13" s="242"/>
    </row>
    <row r="14" spans="2:11" x14ac:dyDescent="0.3">
      <c r="B14" s="147"/>
      <c r="C14" s="147"/>
      <c r="D14" s="147"/>
      <c r="E14" s="242"/>
      <c r="F14" s="148"/>
      <c r="G14" s="147"/>
      <c r="H14" s="147"/>
      <c r="I14" s="147"/>
      <c r="J14" s="242"/>
    </row>
    <row r="15" spans="2:11" x14ac:dyDescent="0.3">
      <c r="B15" s="147"/>
      <c r="C15" s="147"/>
      <c r="D15" s="147"/>
      <c r="E15" s="147"/>
      <c r="F15" s="147"/>
      <c r="G15" s="147"/>
      <c r="H15" s="147"/>
      <c r="I15" s="147"/>
      <c r="J15" s="147"/>
    </row>
    <row r="16" spans="2:11" s="149" customFormat="1" ht="35.4" customHeight="1" x14ac:dyDescent="0.3">
      <c r="B16" s="237" t="str">
        <f>Backend_5!A1</f>
        <v>Bloc de critères</v>
      </c>
      <c r="C16" s="238"/>
      <c r="D16" s="238"/>
      <c r="E16" s="237" t="str">
        <f>Backend_5!B1</f>
        <v>Rubrique</v>
      </c>
      <c r="F16" s="238"/>
      <c r="G16" s="237" t="str">
        <f>Backend_5!C1</f>
        <v>Taux de conformité des critères majeurs</v>
      </c>
      <c r="H16" s="238"/>
      <c r="I16" s="237" t="str">
        <f>Backend_5!D1</f>
        <v>Taux de conformité des critères mineurs</v>
      </c>
      <c r="J16" s="238"/>
    </row>
    <row r="17" spans="2:10" s="149" customFormat="1" ht="16.2" x14ac:dyDescent="0.3">
      <c r="B17" s="245" t="str">
        <f>Backend_5!A2</f>
        <v>Information et réservation</v>
      </c>
      <c r="C17" s="245"/>
      <c r="D17" s="245"/>
      <c r="E17" s="243" t="str">
        <f>Backend_5!B2</f>
        <v>Information</v>
      </c>
      <c r="F17" s="243"/>
      <c r="G17" s="244">
        <f ca="1">Backend_5!C2</f>
        <v>0</v>
      </c>
      <c r="H17" s="244"/>
      <c r="I17" s="244" t="str">
        <f ca="1">Backend_5!D2</f>
        <v>Non appliqué</v>
      </c>
      <c r="J17" s="244"/>
    </row>
    <row r="18" spans="2:10" s="149" customFormat="1" ht="16.2" x14ac:dyDescent="0.3">
      <c r="B18" s="231"/>
      <c r="C18" s="231"/>
      <c r="D18" s="231"/>
      <c r="E18" s="231" t="str">
        <f>Backend_5!B3</f>
        <v>Réservation</v>
      </c>
      <c r="F18" s="232"/>
      <c r="G18" s="233">
        <f ca="1">Backend_5!C3</f>
        <v>0</v>
      </c>
      <c r="H18" s="234"/>
      <c r="I18" s="233" t="str">
        <f ca="1">Backend_5!D3</f>
        <v>Non appliqué</v>
      </c>
      <c r="J18" s="234"/>
    </row>
    <row r="19" spans="2:10" s="149" customFormat="1" ht="16.2" x14ac:dyDescent="0.3">
      <c r="B19" s="245" t="str">
        <f>Backend_5!A4</f>
        <v>Extérieur</v>
      </c>
      <c r="C19" s="245"/>
      <c r="D19" s="245"/>
      <c r="E19" s="231" t="str">
        <f>Backend_5!B4</f>
        <v>Parking et dépose</v>
      </c>
      <c r="F19" s="232"/>
      <c r="G19" s="233">
        <f ca="1">Backend_5!C4</f>
        <v>0</v>
      </c>
      <c r="H19" s="234"/>
      <c r="I19" s="233">
        <f ca="1">Backend_5!D4</f>
        <v>0</v>
      </c>
      <c r="J19" s="234"/>
    </row>
    <row r="20" spans="2:10" s="149" customFormat="1" ht="16.2" x14ac:dyDescent="0.3">
      <c r="B20" s="246"/>
      <c r="C20" s="246"/>
      <c r="D20" s="246"/>
      <c r="E20" s="231" t="str">
        <f>Backend_5!B5</f>
        <v>Jardins</v>
      </c>
      <c r="F20" s="232"/>
      <c r="G20" s="233">
        <f ca="1">Backend_5!C5</f>
        <v>0</v>
      </c>
      <c r="H20" s="234"/>
      <c r="I20" s="233">
        <f ca="1">Backend_5!D5</f>
        <v>0</v>
      </c>
      <c r="J20" s="234"/>
    </row>
    <row r="21" spans="2:10" s="149" customFormat="1" ht="16.2" x14ac:dyDescent="0.3">
      <c r="B21" s="231"/>
      <c r="C21" s="231"/>
      <c r="D21" s="231"/>
      <c r="E21" s="231" t="str">
        <f>Backend_5!B6</f>
        <v>Façades</v>
      </c>
      <c r="F21" s="232"/>
      <c r="G21" s="233">
        <f ca="1">Backend_5!C6</f>
        <v>0</v>
      </c>
      <c r="H21" s="234"/>
      <c r="I21" s="233" t="str">
        <f ca="1">Backend_5!D6</f>
        <v>Non appliqué</v>
      </c>
      <c r="J21" s="234"/>
    </row>
    <row r="22" spans="2:10" s="149" customFormat="1" ht="16.2" x14ac:dyDescent="0.3">
      <c r="B22" s="245" t="str">
        <f>Backend_5!A7</f>
        <v>Accueil et réception</v>
      </c>
      <c r="C22" s="245"/>
      <c r="D22" s="245"/>
      <c r="E22" s="231" t="str">
        <f>Backend_5!B7</f>
        <v>Entrée</v>
      </c>
      <c r="F22" s="232"/>
      <c r="G22" s="233">
        <f ca="1">Backend_5!C7</f>
        <v>0</v>
      </c>
      <c r="H22" s="234"/>
      <c r="I22" s="233" t="str">
        <f ca="1">Backend_5!D7</f>
        <v>Non appliqué</v>
      </c>
      <c r="J22" s="234"/>
    </row>
    <row r="23" spans="2:10" s="149" customFormat="1" ht="16.2" x14ac:dyDescent="0.3">
      <c r="B23" s="246"/>
      <c r="C23" s="246"/>
      <c r="D23" s="246"/>
      <c r="E23" s="231" t="str">
        <f>Backend_5!B8</f>
        <v>Hall d'accueil et salons</v>
      </c>
      <c r="F23" s="232"/>
      <c r="G23" s="233">
        <f ca="1">Backend_5!C8</f>
        <v>0</v>
      </c>
      <c r="H23" s="234"/>
      <c r="I23" s="233">
        <f ca="1">Backend_5!D8</f>
        <v>0</v>
      </c>
      <c r="J23" s="234"/>
    </row>
    <row r="24" spans="2:10" s="149" customFormat="1" ht="16.2" x14ac:dyDescent="0.3">
      <c r="B24" s="246"/>
      <c r="C24" s="246"/>
      <c r="D24" s="246"/>
      <c r="E24" s="231" t="str">
        <f>Backend_5!B9</f>
        <v>Réception</v>
      </c>
      <c r="F24" s="232"/>
      <c r="G24" s="233">
        <f ca="1">Backend_5!C9</f>
        <v>0</v>
      </c>
      <c r="H24" s="234"/>
      <c r="I24" s="233">
        <f ca="1">Backend_5!D9</f>
        <v>0</v>
      </c>
      <c r="J24" s="234"/>
    </row>
    <row r="25" spans="2:10" s="149" customFormat="1" ht="16.2" x14ac:dyDescent="0.3">
      <c r="B25" s="246"/>
      <c r="C25" s="246"/>
      <c r="D25" s="246"/>
      <c r="E25" s="231" t="str">
        <f>Backend_5!B10</f>
        <v>Conciergerie</v>
      </c>
      <c r="F25" s="232"/>
      <c r="G25" s="233">
        <f ca="1">Backend_5!C10</f>
        <v>0</v>
      </c>
      <c r="H25" s="234"/>
      <c r="I25" s="233" t="str">
        <f ca="1">Backend_5!D10</f>
        <v>Non appliqué</v>
      </c>
      <c r="J25" s="234"/>
    </row>
    <row r="26" spans="2:10" s="149" customFormat="1" ht="16.2" x14ac:dyDescent="0.3">
      <c r="B26" s="231"/>
      <c r="C26" s="231"/>
      <c r="D26" s="231"/>
      <c r="E26" s="231" t="str">
        <f>Backend_5!B11</f>
        <v>Bagagerie</v>
      </c>
      <c r="F26" s="232"/>
      <c r="G26" s="233">
        <f ca="1">Backend_5!C11</f>
        <v>0</v>
      </c>
      <c r="H26" s="234"/>
      <c r="I26" s="233" t="str">
        <f ca="1">Backend_5!D11</f>
        <v>Non appliqué</v>
      </c>
      <c r="J26" s="234"/>
    </row>
    <row r="27" spans="2:10" s="149" customFormat="1" ht="16.2" x14ac:dyDescent="0.3">
      <c r="B27" s="245" t="str">
        <f>Backend_5!A12</f>
        <v>Sanitaires publiques</v>
      </c>
      <c r="C27" s="245"/>
      <c r="D27" s="245"/>
      <c r="E27" s="231" t="str">
        <f>Backend_5!B12</f>
        <v>Aspect général</v>
      </c>
      <c r="F27" s="232"/>
      <c r="G27" s="233">
        <f ca="1">Backend_5!C12</f>
        <v>0</v>
      </c>
      <c r="H27" s="234"/>
      <c r="I27" s="233">
        <f ca="1">Backend_5!D12</f>
        <v>0</v>
      </c>
      <c r="J27" s="234"/>
    </row>
    <row r="28" spans="2:10" s="149" customFormat="1" ht="16.2" x14ac:dyDescent="0.3">
      <c r="B28" s="246"/>
      <c r="C28" s="246"/>
      <c r="D28" s="246"/>
      <c r="E28" s="231" t="str">
        <f>Backend_5!B13</f>
        <v>Cabines de toilette</v>
      </c>
      <c r="F28" s="232"/>
      <c r="G28" s="233">
        <f ca="1">Backend_5!C13</f>
        <v>0</v>
      </c>
      <c r="H28" s="234"/>
      <c r="I28" s="233">
        <f ca="1">Backend_5!D13</f>
        <v>0</v>
      </c>
      <c r="J28" s="234"/>
    </row>
    <row r="29" spans="2:10" s="149" customFormat="1" ht="16.2" x14ac:dyDescent="0.3">
      <c r="B29" s="231"/>
      <c r="C29" s="231"/>
      <c r="D29" s="231"/>
      <c r="E29" s="231" t="str">
        <f>Backend_5!B14</f>
        <v>Lavabo</v>
      </c>
      <c r="F29" s="232"/>
      <c r="G29" s="233">
        <f ca="1">Backend_5!C14</f>
        <v>0</v>
      </c>
      <c r="H29" s="234"/>
      <c r="I29" s="233">
        <f ca="1">Backend_5!D14</f>
        <v>0</v>
      </c>
      <c r="J29" s="234"/>
    </row>
    <row r="30" spans="2:10" s="149" customFormat="1" ht="16.2" x14ac:dyDescent="0.3">
      <c r="B30" s="245" t="str">
        <f>Backend_5!A15</f>
        <v>Circulation</v>
      </c>
      <c r="C30" s="245"/>
      <c r="D30" s="245"/>
      <c r="E30" s="231" t="str">
        <f>Backend_5!B15</f>
        <v>Couloirs et allées</v>
      </c>
      <c r="F30" s="232"/>
      <c r="G30" s="233">
        <f ca="1">Backend_5!C15</f>
        <v>0</v>
      </c>
      <c r="H30" s="234"/>
      <c r="I30" s="233">
        <f ca="1">Backend_5!D15</f>
        <v>0</v>
      </c>
      <c r="J30" s="234"/>
    </row>
    <row r="31" spans="2:10" s="149" customFormat="1" ht="16.2" x14ac:dyDescent="0.3">
      <c r="B31" s="231"/>
      <c r="C31" s="231"/>
      <c r="D31" s="231"/>
      <c r="E31" s="231" t="str">
        <f>Backend_5!B16</f>
        <v>Ascenseurs</v>
      </c>
      <c r="F31" s="232"/>
      <c r="G31" s="233">
        <f ca="1">Backend_5!C16</f>
        <v>0</v>
      </c>
      <c r="H31" s="234"/>
      <c r="I31" s="233" t="str">
        <f ca="1">Backend_5!D16</f>
        <v>Non appliqué</v>
      </c>
      <c r="J31" s="234"/>
    </row>
    <row r="32" spans="2:10" s="149" customFormat="1" ht="16.2" x14ac:dyDescent="0.3">
      <c r="B32" s="245" t="str">
        <f>Backend_5!A17</f>
        <v>Petit déjeuner</v>
      </c>
      <c r="C32" s="245"/>
      <c r="D32" s="245"/>
      <c r="E32" s="231" t="str">
        <f>Backend_5!B17</f>
        <v>Généralités</v>
      </c>
      <c r="F32" s="232"/>
      <c r="G32" s="233">
        <f ca="1">Backend_5!C17</f>
        <v>0</v>
      </c>
      <c r="H32" s="234"/>
      <c r="I32" s="233">
        <f ca="1">Backend_5!D17</f>
        <v>0</v>
      </c>
      <c r="J32" s="234"/>
    </row>
    <row r="33" spans="2:10" s="149" customFormat="1" ht="16.2" x14ac:dyDescent="0.3">
      <c r="B33" s="231"/>
      <c r="C33" s="231"/>
      <c r="D33" s="231"/>
      <c r="E33" s="231" t="str">
        <f>Backend_5!B18</f>
        <v>Equipement et mobilier</v>
      </c>
      <c r="F33" s="232"/>
      <c r="G33" s="233">
        <f ca="1">Backend_5!C18</f>
        <v>0</v>
      </c>
      <c r="H33" s="234"/>
      <c r="I33" s="233" t="str">
        <f ca="1">Backend_5!D18</f>
        <v>Non appliqué</v>
      </c>
      <c r="J33" s="234"/>
    </row>
    <row r="34" spans="2:10" s="149" customFormat="1" ht="16.2" x14ac:dyDescent="0.3">
      <c r="B34" s="245" t="str">
        <f>Backend_5!A19</f>
        <v>Restaurant principal</v>
      </c>
      <c r="C34" s="245"/>
      <c r="D34" s="245"/>
      <c r="E34" s="231" t="str">
        <f>Backend_5!B19</f>
        <v>Généralités</v>
      </c>
      <c r="F34" s="232"/>
      <c r="G34" s="233">
        <f ca="1">Backend_5!C19</f>
        <v>0</v>
      </c>
      <c r="H34" s="234"/>
      <c r="I34" s="233">
        <f ca="1">Backend_5!D19</f>
        <v>0</v>
      </c>
      <c r="J34" s="234"/>
    </row>
    <row r="35" spans="2:10" s="149" customFormat="1" ht="16.2" x14ac:dyDescent="0.3">
      <c r="B35" s="231"/>
      <c r="C35" s="231"/>
      <c r="D35" s="231"/>
      <c r="E35" s="231" t="str">
        <f>Backend_5!B20</f>
        <v>Equipement et mobilier</v>
      </c>
      <c r="F35" s="232"/>
      <c r="G35" s="233">
        <f ca="1">Backend_5!C20</f>
        <v>0</v>
      </c>
      <c r="H35" s="234"/>
      <c r="I35" s="233" t="str">
        <f ca="1">Backend_5!D20</f>
        <v>Non appliqué</v>
      </c>
      <c r="J35" s="234"/>
    </row>
    <row r="36" spans="2:10" s="149" customFormat="1" ht="16.2" x14ac:dyDescent="0.3">
      <c r="B36" s="245" t="str">
        <f>Backend_5!A21</f>
        <v>Restaurant thématique</v>
      </c>
      <c r="C36" s="245"/>
      <c r="D36" s="245"/>
      <c r="E36" s="231" t="str">
        <f>Backend_5!B21</f>
        <v>Généralités</v>
      </c>
      <c r="F36" s="232"/>
      <c r="G36" s="233">
        <f ca="1">Backend_5!C21</f>
        <v>0</v>
      </c>
      <c r="H36" s="234"/>
      <c r="I36" s="233">
        <f ca="1">Backend_5!D21</f>
        <v>0</v>
      </c>
      <c r="J36" s="234"/>
    </row>
    <row r="37" spans="2:10" s="149" customFormat="1" ht="16.2" x14ac:dyDescent="0.3">
      <c r="B37" s="231"/>
      <c r="C37" s="231"/>
      <c r="D37" s="231"/>
      <c r="E37" s="231" t="str">
        <f>Backend_5!B22</f>
        <v>Equipement et mobilier</v>
      </c>
      <c r="F37" s="232"/>
      <c r="G37" s="233">
        <f ca="1">Backend_5!C22</f>
        <v>0</v>
      </c>
      <c r="H37" s="234"/>
      <c r="I37" s="233" t="str">
        <f ca="1">Backend_5!D22</f>
        <v>Non appliqué</v>
      </c>
      <c r="J37" s="234"/>
    </row>
    <row r="38" spans="2:10" s="149" customFormat="1" ht="16.2" x14ac:dyDescent="0.3">
      <c r="B38" s="245" t="str">
        <f>Backend_5!A23</f>
        <v>Bar</v>
      </c>
      <c r="C38" s="245"/>
      <c r="D38" s="245"/>
      <c r="E38" s="231" t="str">
        <f>Backend_5!B23</f>
        <v>Généralités</v>
      </c>
      <c r="F38" s="232"/>
      <c r="G38" s="233">
        <f ca="1">Backend_5!C23</f>
        <v>0</v>
      </c>
      <c r="H38" s="234"/>
      <c r="I38" s="233">
        <f ca="1">Backend_5!D23</f>
        <v>0</v>
      </c>
      <c r="J38" s="234"/>
    </row>
    <row r="39" spans="2:10" s="149" customFormat="1" ht="16.2" x14ac:dyDescent="0.3">
      <c r="B39" s="231"/>
      <c r="C39" s="231"/>
      <c r="D39" s="231"/>
      <c r="E39" s="231" t="str">
        <f>Backend_5!B24</f>
        <v>Equipement et mobilier</v>
      </c>
      <c r="F39" s="232"/>
      <c r="G39" s="233">
        <f ca="1">Backend_5!C24</f>
        <v>0</v>
      </c>
      <c r="H39" s="234"/>
      <c r="I39" s="233" t="str">
        <f ca="1">Backend_5!D24</f>
        <v>Non appliqué</v>
      </c>
      <c r="J39" s="234"/>
    </row>
    <row r="40" spans="2:10" s="149" customFormat="1" ht="16.2" x14ac:dyDescent="0.3">
      <c r="B40" s="245" t="str">
        <f>Backend_5!A25</f>
        <v>Salle(s) de séminaires, de réunions et de cérémonies</v>
      </c>
      <c r="C40" s="245"/>
      <c r="D40" s="245"/>
      <c r="E40" s="231" t="str">
        <f>Backend_5!B25</f>
        <v>Salle polyvalente</v>
      </c>
      <c r="F40" s="232"/>
      <c r="G40" s="233" t="str">
        <f ca="1">Backend_5!C25</f>
        <v>Non appliqué</v>
      </c>
      <c r="H40" s="234"/>
      <c r="I40" s="233">
        <f ca="1">Backend_5!D25</f>
        <v>0</v>
      </c>
      <c r="J40" s="234"/>
    </row>
    <row r="41" spans="2:10" s="149" customFormat="1" ht="16.2" x14ac:dyDescent="0.3">
      <c r="B41" s="246"/>
      <c r="C41" s="246"/>
      <c r="D41" s="246"/>
      <c r="E41" s="231" t="str">
        <f>Backend_5!B26</f>
        <v>Salles de réunion</v>
      </c>
      <c r="F41" s="232"/>
      <c r="G41" s="233" t="str">
        <f ca="1">Backend_5!C26</f>
        <v>Non appliqué</v>
      </c>
      <c r="H41" s="234"/>
      <c r="I41" s="233">
        <f ca="1">Backend_5!D26</f>
        <v>0</v>
      </c>
      <c r="J41" s="234"/>
    </row>
    <row r="42" spans="2:10" s="149" customFormat="1" ht="16.2" x14ac:dyDescent="0.3">
      <c r="B42" s="231"/>
      <c r="C42" s="231"/>
      <c r="D42" s="231"/>
      <c r="E42" s="231" t="str">
        <f>Backend_5!B27</f>
        <v>Equipements</v>
      </c>
      <c r="F42" s="232"/>
      <c r="G42" s="233" t="str">
        <f ca="1">Backend_5!C27</f>
        <v>Non appliqué</v>
      </c>
      <c r="H42" s="234"/>
      <c r="I42" s="233">
        <f ca="1">Backend_5!D27</f>
        <v>0</v>
      </c>
      <c r="J42" s="234"/>
    </row>
    <row r="43" spans="2:10" s="149" customFormat="1" ht="16.2" x14ac:dyDescent="0.3">
      <c r="B43" s="245" t="str">
        <f>Backend_5!A28</f>
        <v>Bien-être et fitness</v>
      </c>
      <c r="C43" s="245"/>
      <c r="D43" s="245"/>
      <c r="E43" s="231" t="str">
        <f>Backend_5!B28</f>
        <v>Accueil et information</v>
      </c>
      <c r="F43" s="232"/>
      <c r="G43" s="233" t="str">
        <f ca="1">Backend_5!C28</f>
        <v>Non appliqué</v>
      </c>
      <c r="H43" s="234"/>
      <c r="I43" s="233">
        <f ca="1">Backend_5!D28</f>
        <v>0</v>
      </c>
      <c r="J43" s="234"/>
    </row>
    <row r="44" spans="2:10" s="149" customFormat="1" ht="16.2" x14ac:dyDescent="0.3">
      <c r="B44" s="246"/>
      <c r="C44" s="246"/>
      <c r="D44" s="246"/>
      <c r="E44" s="231" t="str">
        <f>Backend_5!B29</f>
        <v>Hammam</v>
      </c>
      <c r="F44" s="232"/>
      <c r="G44" s="233" t="str">
        <f ca="1">Backend_5!C29</f>
        <v>Non appliqué</v>
      </c>
      <c r="H44" s="234"/>
      <c r="I44" s="233">
        <f ca="1">Backend_5!D29</f>
        <v>0</v>
      </c>
      <c r="J44" s="234"/>
    </row>
    <row r="45" spans="2:10" s="149" customFormat="1" ht="16.2" x14ac:dyDescent="0.3">
      <c r="B45" s="246"/>
      <c r="C45" s="246"/>
      <c r="D45" s="246"/>
      <c r="E45" s="231" t="str">
        <f>Backend_5!B30</f>
        <v>Sauna</v>
      </c>
      <c r="F45" s="232"/>
      <c r="G45" s="233" t="str">
        <f ca="1">Backend_5!C30</f>
        <v>Non appliqué</v>
      </c>
      <c r="H45" s="234"/>
      <c r="I45" s="233">
        <f ca="1">Backend_5!D30</f>
        <v>0</v>
      </c>
      <c r="J45" s="234"/>
    </row>
    <row r="46" spans="2:10" s="149" customFormat="1" ht="16.2" x14ac:dyDescent="0.3">
      <c r="B46" s="246"/>
      <c r="C46" s="246"/>
      <c r="D46" s="246"/>
      <c r="E46" s="231" t="str">
        <f>Backend_5!B31</f>
        <v>Massage</v>
      </c>
      <c r="F46" s="232"/>
      <c r="G46" s="233" t="str">
        <f ca="1">Backend_5!C31</f>
        <v>Non appliqué</v>
      </c>
      <c r="H46" s="234"/>
      <c r="I46" s="233">
        <f ca="1">Backend_5!D31</f>
        <v>0</v>
      </c>
      <c r="J46" s="234"/>
    </row>
    <row r="47" spans="2:10" s="149" customFormat="1" ht="16.2" x14ac:dyDescent="0.3">
      <c r="B47" s="246"/>
      <c r="C47" s="246"/>
      <c r="D47" s="246"/>
      <c r="E47" s="231" t="str">
        <f>Backend_5!B32</f>
        <v>Jacuzzi</v>
      </c>
      <c r="F47" s="232"/>
      <c r="G47" s="233" t="str">
        <f ca="1">Backend_5!C32</f>
        <v>Non appliqué</v>
      </c>
      <c r="H47" s="234"/>
      <c r="I47" s="233">
        <f ca="1">Backend_5!D32</f>
        <v>0</v>
      </c>
      <c r="J47" s="234"/>
    </row>
    <row r="48" spans="2:10" s="149" customFormat="1" ht="16.2" x14ac:dyDescent="0.3">
      <c r="B48" s="246"/>
      <c r="C48" s="246"/>
      <c r="D48" s="246"/>
      <c r="E48" s="231" t="str">
        <f>Backend_5!B33</f>
        <v>Salon de beauté</v>
      </c>
      <c r="F48" s="232"/>
      <c r="G48" s="233" t="str">
        <f ca="1">Backend_5!C33</f>
        <v>Non appliqué</v>
      </c>
      <c r="H48" s="234"/>
      <c r="I48" s="233">
        <f ca="1">Backend_5!D33</f>
        <v>0</v>
      </c>
      <c r="J48" s="234"/>
    </row>
    <row r="49" spans="2:10" s="149" customFormat="1" ht="16.2" x14ac:dyDescent="0.3">
      <c r="B49" s="246"/>
      <c r="C49" s="246"/>
      <c r="D49" s="246"/>
      <c r="E49" s="231" t="str">
        <f>Backend_5!B34</f>
        <v>Salle de fitness</v>
      </c>
      <c r="F49" s="232"/>
      <c r="G49" s="233">
        <f ca="1">Backend_5!C34</f>
        <v>0</v>
      </c>
      <c r="H49" s="234"/>
      <c r="I49" s="233" t="str">
        <f ca="1">Backend_5!D34</f>
        <v>Non appliqué</v>
      </c>
      <c r="J49" s="234"/>
    </row>
    <row r="50" spans="2:10" s="149" customFormat="1" ht="16.2" x14ac:dyDescent="0.3">
      <c r="B50" s="231"/>
      <c r="C50" s="231"/>
      <c r="D50" s="231"/>
      <c r="E50" s="231" t="str">
        <f>Backend_5!B35</f>
        <v>Vestiaires et douche</v>
      </c>
      <c r="F50" s="232"/>
      <c r="G50" s="233">
        <f ca="1">Backend_5!C35</f>
        <v>0</v>
      </c>
      <c r="H50" s="234"/>
      <c r="I50" s="233">
        <f ca="1">Backend_5!D35</f>
        <v>0</v>
      </c>
      <c r="J50" s="234"/>
    </row>
    <row r="51" spans="2:10" s="149" customFormat="1" ht="16.2" x14ac:dyDescent="0.3">
      <c r="B51" s="245" t="str">
        <f>Backend_5!A36</f>
        <v>Piscine extérieure</v>
      </c>
      <c r="C51" s="245"/>
      <c r="D51" s="245"/>
      <c r="E51" s="231" t="str">
        <f>Backend_5!B36</f>
        <v>Généralités</v>
      </c>
      <c r="F51" s="232"/>
      <c r="G51" s="233" t="str">
        <f ca="1">Backend_5!C36</f>
        <v>Non appliqué</v>
      </c>
      <c r="H51" s="234"/>
      <c r="I51" s="233">
        <f ca="1">Backend_5!D36</f>
        <v>0</v>
      </c>
      <c r="J51" s="234"/>
    </row>
    <row r="52" spans="2:10" s="149" customFormat="1" ht="16.2" x14ac:dyDescent="0.3">
      <c r="B52" s="246"/>
      <c r="C52" s="246"/>
      <c r="D52" s="246"/>
      <c r="E52" s="231" t="str">
        <f>Backend_5!B37</f>
        <v>Sécurité de la piscine</v>
      </c>
      <c r="F52" s="232"/>
      <c r="G52" s="233" t="str">
        <f ca="1">Backend_5!C37</f>
        <v>Non appliqué</v>
      </c>
      <c r="H52" s="234"/>
      <c r="I52" s="233">
        <f ca="1">Backend_5!D37</f>
        <v>0</v>
      </c>
      <c r="J52" s="234"/>
    </row>
    <row r="53" spans="2:10" s="149" customFormat="1" ht="32.4" customHeight="1" x14ac:dyDescent="0.3">
      <c r="B53" s="246"/>
      <c r="C53" s="246"/>
      <c r="D53" s="246"/>
      <c r="E53" s="231" t="str">
        <f>Backend_5!B38</f>
        <v>Equipements et mobilier</v>
      </c>
      <c r="F53" s="232"/>
      <c r="G53" s="233" t="str">
        <f ca="1">Backend_5!C38</f>
        <v>Non appliqué</v>
      </c>
      <c r="H53" s="234"/>
      <c r="I53" s="233">
        <f ca="1">Backend_5!D38</f>
        <v>0</v>
      </c>
      <c r="J53" s="234"/>
    </row>
    <row r="54" spans="2:10" s="149" customFormat="1" ht="16.2" x14ac:dyDescent="0.3">
      <c r="B54" s="246"/>
      <c r="C54" s="246"/>
      <c r="D54" s="246"/>
      <c r="E54" s="231" t="str">
        <f>Backend_5!B39</f>
        <v>Snack-bar</v>
      </c>
      <c r="F54" s="232"/>
      <c r="G54" s="233" t="str">
        <f ca="1">Backend_5!C39</f>
        <v>Non appliqué</v>
      </c>
      <c r="H54" s="234"/>
      <c r="I54" s="233">
        <f ca="1">Backend_5!D39</f>
        <v>0</v>
      </c>
      <c r="J54" s="234"/>
    </row>
    <row r="55" spans="2:10" s="149" customFormat="1" ht="16.2" x14ac:dyDescent="0.3">
      <c r="B55" s="231"/>
      <c r="C55" s="231"/>
      <c r="D55" s="231"/>
      <c r="E55" s="231" t="str">
        <f>Backend_5!B40</f>
        <v>Vestiaires et sanitaires</v>
      </c>
      <c r="F55" s="232"/>
      <c r="G55" s="233" t="str">
        <f ca="1">Backend_5!C40</f>
        <v>Non appliqué</v>
      </c>
      <c r="H55" s="234"/>
      <c r="I55" s="233">
        <f ca="1">Backend_5!D40</f>
        <v>0</v>
      </c>
      <c r="J55" s="234"/>
    </row>
    <row r="56" spans="2:10" s="149" customFormat="1" ht="16.2" x14ac:dyDescent="0.3">
      <c r="B56" s="231" t="str">
        <f>Backend_5!A41</f>
        <v>Piscine pour enfants</v>
      </c>
      <c r="C56" s="232"/>
      <c r="D56" s="232"/>
      <c r="E56" s="231" t="str">
        <f>Backend_5!B41</f>
        <v>Piscine pour enfants</v>
      </c>
      <c r="F56" s="232"/>
      <c r="G56" s="233" t="str">
        <f ca="1">Backend_5!C41</f>
        <v>Non appliqué</v>
      </c>
      <c r="H56" s="234"/>
      <c r="I56" s="233">
        <f ca="1">Backend_5!D41</f>
        <v>0</v>
      </c>
      <c r="J56" s="234"/>
    </row>
    <row r="57" spans="2:10" s="149" customFormat="1" ht="16.2" x14ac:dyDescent="0.3">
      <c r="B57" s="245" t="str">
        <f>Backend_5!A42</f>
        <v>Autres animations</v>
      </c>
      <c r="C57" s="245"/>
      <c r="D57" s="245"/>
      <c r="E57" s="231" t="str">
        <f>Backend_5!B42</f>
        <v>Night-club ou discothèque</v>
      </c>
      <c r="F57" s="232"/>
      <c r="G57" s="233" t="str">
        <f ca="1">Backend_5!C42</f>
        <v>Non appliqué</v>
      </c>
      <c r="H57" s="234"/>
      <c r="I57" s="233">
        <f ca="1">Backend_5!D42</f>
        <v>0</v>
      </c>
      <c r="J57" s="234"/>
    </row>
    <row r="58" spans="2:10" s="149" customFormat="1" ht="30" customHeight="1" x14ac:dyDescent="0.3">
      <c r="B58" s="246"/>
      <c r="C58" s="246"/>
      <c r="D58" s="246"/>
      <c r="E58" s="231" t="str">
        <f>Backend_5!B43</f>
        <v>Animation 2 (à préciser lors de l'audit)</v>
      </c>
      <c r="F58" s="232"/>
      <c r="G58" s="233" t="str">
        <f ca="1">Backend_5!C43</f>
        <v>Non appliqué</v>
      </c>
      <c r="H58" s="234"/>
      <c r="I58" s="233">
        <f ca="1">Backend_5!D43</f>
        <v>0</v>
      </c>
      <c r="J58" s="234"/>
    </row>
    <row r="59" spans="2:10" s="149" customFormat="1" ht="30" customHeight="1" x14ac:dyDescent="0.3">
      <c r="B59" s="246"/>
      <c r="C59" s="246"/>
      <c r="D59" s="246"/>
      <c r="E59" s="231" t="str">
        <f>Backend_5!B44</f>
        <v>Animation 3 (à préciser lors de l'audit)</v>
      </c>
      <c r="F59" s="232"/>
      <c r="G59" s="233" t="str">
        <f ca="1">Backend_5!C44</f>
        <v>Non appliqué</v>
      </c>
      <c r="H59" s="234"/>
      <c r="I59" s="233">
        <f ca="1">Backend_5!D44</f>
        <v>0</v>
      </c>
      <c r="J59" s="234"/>
    </row>
    <row r="60" spans="2:10" s="149" customFormat="1" ht="30" customHeight="1" x14ac:dyDescent="0.3">
      <c r="B60" s="246"/>
      <c r="C60" s="246"/>
      <c r="D60" s="246"/>
      <c r="E60" s="231" t="str">
        <f>Backend_5!B45</f>
        <v>Animation 4 (à préciser lors de l'audit)</v>
      </c>
      <c r="F60" s="232"/>
      <c r="G60" s="233" t="str">
        <f ca="1">Backend_5!C45</f>
        <v>Non appliqué</v>
      </c>
      <c r="H60" s="234"/>
      <c r="I60" s="233">
        <f ca="1">Backend_5!D45</f>
        <v>0</v>
      </c>
      <c r="J60" s="234"/>
    </row>
    <row r="61" spans="2:10" s="149" customFormat="1" ht="30" customHeight="1" x14ac:dyDescent="0.3">
      <c r="B61" s="231"/>
      <c r="C61" s="231"/>
      <c r="D61" s="231"/>
      <c r="E61" s="231" t="str">
        <f>Backend_5!B46</f>
        <v>Autres animations (à préciser lors de l'audit)</v>
      </c>
      <c r="F61" s="232"/>
      <c r="G61" s="233" t="str">
        <f ca="1">Backend_5!C46</f>
        <v>Non appliqué</v>
      </c>
      <c r="H61" s="234"/>
      <c r="I61" s="233">
        <f ca="1">Backend_5!D46</f>
        <v>0</v>
      </c>
      <c r="J61" s="234"/>
    </row>
    <row r="62" spans="2:10" s="149" customFormat="1" ht="16.2" x14ac:dyDescent="0.3">
      <c r="B62" s="231" t="str">
        <f>Backend_5!A47</f>
        <v>Boutique</v>
      </c>
      <c r="C62" s="232"/>
      <c r="D62" s="232"/>
      <c r="E62" s="231" t="str">
        <f>Backend_5!B47</f>
        <v>Boutique</v>
      </c>
      <c r="F62" s="232"/>
      <c r="G62" s="233" t="str">
        <f ca="1">Backend_5!C47</f>
        <v>Non appliqué</v>
      </c>
      <c r="H62" s="234"/>
      <c r="I62" s="233">
        <f ca="1">Backend_5!D47</f>
        <v>0</v>
      </c>
      <c r="J62" s="234"/>
    </row>
    <row r="63" spans="2:10" s="149" customFormat="1" ht="16.2" x14ac:dyDescent="0.3">
      <c r="B63" s="245" t="str">
        <f>Backend_5!A48</f>
        <v>Espaces d'habitation</v>
      </c>
      <c r="C63" s="245"/>
      <c r="D63" s="245"/>
      <c r="E63" s="231" t="str">
        <f>Backend_5!B48</f>
        <v>Généralités</v>
      </c>
      <c r="F63" s="232"/>
      <c r="G63" s="233">
        <f ca="1">Backend_5!C48</f>
        <v>0</v>
      </c>
      <c r="H63" s="234"/>
      <c r="I63" s="233">
        <f ca="1">Backend_5!D48</f>
        <v>0</v>
      </c>
      <c r="J63" s="234"/>
    </row>
    <row r="64" spans="2:10" s="149" customFormat="1" ht="16.2" x14ac:dyDescent="0.3">
      <c r="B64" s="246"/>
      <c r="C64" s="246"/>
      <c r="D64" s="246"/>
      <c r="E64" s="231" t="str">
        <f>Backend_5!B49</f>
        <v>Porte</v>
      </c>
      <c r="F64" s="232"/>
      <c r="G64" s="233">
        <f ca="1">Backend_5!C49</f>
        <v>0</v>
      </c>
      <c r="H64" s="234"/>
      <c r="I64" s="233" t="str">
        <f ca="1">Backend_5!D49</f>
        <v>Non appliqué</v>
      </c>
      <c r="J64" s="234"/>
    </row>
    <row r="65" spans="2:10" s="149" customFormat="1" ht="30.6" customHeight="1" x14ac:dyDescent="0.3">
      <c r="B65" s="246"/>
      <c r="C65" s="246"/>
      <c r="D65" s="246"/>
      <c r="E65" s="231" t="str">
        <f>Backend_5!B50</f>
        <v>Placard/penderie/dressing</v>
      </c>
      <c r="F65" s="232"/>
      <c r="G65" s="233">
        <f ca="1">Backend_5!C50</f>
        <v>0</v>
      </c>
      <c r="H65" s="234"/>
      <c r="I65" s="233" t="str">
        <f ca="1">Backend_5!D50</f>
        <v>Non appliqué</v>
      </c>
      <c r="J65" s="234"/>
    </row>
    <row r="66" spans="2:10" s="149" customFormat="1" ht="16.2" x14ac:dyDescent="0.3">
      <c r="B66" s="246"/>
      <c r="C66" s="246"/>
      <c r="D66" s="246"/>
      <c r="E66" s="231" t="str">
        <f>Backend_5!B51</f>
        <v>Literie</v>
      </c>
      <c r="F66" s="232"/>
      <c r="G66" s="233">
        <f ca="1">Backend_5!C51</f>
        <v>0</v>
      </c>
      <c r="H66" s="234"/>
      <c r="I66" s="233" t="str">
        <f ca="1">Backend_5!D51</f>
        <v>Non appliqué</v>
      </c>
      <c r="J66" s="234"/>
    </row>
    <row r="67" spans="2:10" s="149" customFormat="1" ht="16.2" x14ac:dyDescent="0.3">
      <c r="B67" s="246"/>
      <c r="C67" s="246"/>
      <c r="D67" s="246"/>
      <c r="E67" s="231" t="str">
        <f>Backend_5!B52</f>
        <v>Rideaux</v>
      </c>
      <c r="F67" s="232"/>
      <c r="G67" s="233">
        <f ca="1">Backend_5!C52</f>
        <v>0</v>
      </c>
      <c r="H67" s="234"/>
      <c r="I67" s="233" t="str">
        <f ca="1">Backend_5!D52</f>
        <v>Non appliqué</v>
      </c>
      <c r="J67" s="234"/>
    </row>
    <row r="68" spans="2:10" s="149" customFormat="1" ht="16.2" x14ac:dyDescent="0.3">
      <c r="B68" s="246"/>
      <c r="C68" s="246"/>
      <c r="D68" s="246"/>
      <c r="E68" s="231" t="str">
        <f>Backend_5!B53</f>
        <v>Mobilier</v>
      </c>
      <c r="F68" s="232"/>
      <c r="G68" s="233">
        <f ca="1">Backend_5!C53</f>
        <v>0</v>
      </c>
      <c r="H68" s="234"/>
      <c r="I68" s="233" t="str">
        <f ca="1">Backend_5!D53</f>
        <v>Non appliqué</v>
      </c>
      <c r="J68" s="234"/>
    </row>
    <row r="69" spans="2:10" s="149" customFormat="1" ht="16.2" x14ac:dyDescent="0.3">
      <c r="B69" s="246"/>
      <c r="C69" s="246"/>
      <c r="D69" s="246"/>
      <c r="E69" s="231" t="str">
        <f>Backend_5!B54</f>
        <v>Télévision</v>
      </c>
      <c r="F69" s="232"/>
      <c r="G69" s="233">
        <f ca="1">Backend_5!C54</f>
        <v>0</v>
      </c>
      <c r="H69" s="234"/>
      <c r="I69" s="233" t="str">
        <f ca="1">Backend_5!D54</f>
        <v>Non appliqué</v>
      </c>
      <c r="J69" s="234"/>
    </row>
    <row r="70" spans="2:10" s="149" customFormat="1" ht="16.2" x14ac:dyDescent="0.3">
      <c r="B70" s="246"/>
      <c r="C70" s="246"/>
      <c r="D70" s="246"/>
      <c r="E70" s="231" t="str">
        <f>Backend_5!B55</f>
        <v>Téléphone et Internet</v>
      </c>
      <c r="F70" s="232"/>
      <c r="G70" s="233">
        <f ca="1">Backend_5!C55</f>
        <v>0</v>
      </c>
      <c r="H70" s="234"/>
      <c r="I70" s="233" t="str">
        <f ca="1">Backend_5!D55</f>
        <v>Non appliqué</v>
      </c>
      <c r="J70" s="234"/>
    </row>
    <row r="71" spans="2:10" s="149" customFormat="1" ht="34.200000000000003" customHeight="1" x14ac:dyDescent="0.3">
      <c r="B71" s="246"/>
      <c r="C71" s="246"/>
      <c r="D71" s="246"/>
      <c r="E71" s="231" t="str">
        <f>Backend_5!B56</f>
        <v>Equipements électriques et éclairage</v>
      </c>
      <c r="F71" s="232"/>
      <c r="G71" s="233">
        <f ca="1">Backend_5!C56</f>
        <v>0</v>
      </c>
      <c r="H71" s="234"/>
      <c r="I71" s="233">
        <f ca="1">Backend_5!D56</f>
        <v>0</v>
      </c>
      <c r="J71" s="234"/>
    </row>
    <row r="72" spans="2:10" s="149" customFormat="1" ht="16.2" x14ac:dyDescent="0.3">
      <c r="B72" s="246"/>
      <c r="C72" s="246"/>
      <c r="D72" s="246"/>
      <c r="E72" s="231" t="str">
        <f>Backend_5!B57</f>
        <v>Autres équipements</v>
      </c>
      <c r="F72" s="232"/>
      <c r="G72" s="233">
        <f ca="1">Backend_5!C57</f>
        <v>0</v>
      </c>
      <c r="H72" s="234"/>
      <c r="I72" s="233">
        <f ca="1">Backend_5!D57</f>
        <v>0</v>
      </c>
      <c r="J72" s="234"/>
    </row>
    <row r="73" spans="2:10" s="149" customFormat="1" ht="16.2" x14ac:dyDescent="0.3">
      <c r="B73" s="231"/>
      <c r="C73" s="231"/>
      <c r="D73" s="231"/>
      <c r="E73" s="231" t="str">
        <f>Backend_5!B58</f>
        <v>Services</v>
      </c>
      <c r="F73" s="232"/>
      <c r="G73" s="233">
        <f ca="1">Backend_5!C58</f>
        <v>0</v>
      </c>
      <c r="H73" s="234"/>
      <c r="I73" s="233">
        <f ca="1">Backend_5!D58</f>
        <v>0</v>
      </c>
      <c r="J73" s="234"/>
    </row>
    <row r="74" spans="2:10" s="149" customFormat="1" ht="16.2" x14ac:dyDescent="0.3">
      <c r="B74" s="245" t="str">
        <f>Backend_5!A59</f>
        <v>Salle de bain et toilettes</v>
      </c>
      <c r="C74" s="245"/>
      <c r="D74" s="245"/>
      <c r="E74" s="231" t="str">
        <f>Backend_5!B59</f>
        <v>Généralités</v>
      </c>
      <c r="F74" s="232"/>
      <c r="G74" s="233">
        <f ca="1">Backend_5!C59</f>
        <v>0</v>
      </c>
      <c r="H74" s="234"/>
      <c r="I74" s="233">
        <f ca="1">Backend_5!D59</f>
        <v>0</v>
      </c>
      <c r="J74" s="234"/>
    </row>
    <row r="75" spans="2:10" s="149" customFormat="1" ht="16.2" x14ac:dyDescent="0.3">
      <c r="B75" s="246"/>
      <c r="C75" s="246"/>
      <c r="D75" s="246"/>
      <c r="E75" s="231" t="str">
        <f>Backend_5!B60</f>
        <v>Lavabo</v>
      </c>
      <c r="F75" s="232"/>
      <c r="G75" s="233">
        <f ca="1">Backend_5!C60</f>
        <v>0</v>
      </c>
      <c r="H75" s="234"/>
      <c r="I75" s="233" t="str">
        <f ca="1">Backend_5!D60</f>
        <v>Non appliqué</v>
      </c>
      <c r="J75" s="234"/>
    </row>
    <row r="76" spans="2:10" s="149" customFormat="1" ht="16.2" x14ac:dyDescent="0.3">
      <c r="B76" s="246"/>
      <c r="C76" s="246"/>
      <c r="D76" s="246"/>
      <c r="E76" s="231" t="str">
        <f>Backend_5!B61</f>
        <v>Douche</v>
      </c>
      <c r="F76" s="232"/>
      <c r="G76" s="233">
        <f ca="1">Backend_5!C61</f>
        <v>0</v>
      </c>
      <c r="H76" s="234"/>
      <c r="I76" s="233">
        <f ca="1">Backend_5!D61</f>
        <v>0</v>
      </c>
      <c r="J76" s="234"/>
    </row>
    <row r="77" spans="2:10" s="149" customFormat="1" ht="16.2" x14ac:dyDescent="0.3">
      <c r="B77" s="246"/>
      <c r="C77" s="246"/>
      <c r="D77" s="246"/>
      <c r="E77" s="231" t="str">
        <f>Backend_5!B62</f>
        <v>Baignoire</v>
      </c>
      <c r="F77" s="232"/>
      <c r="G77" s="233" t="str">
        <f ca="1">Backend_5!C62</f>
        <v>Non appliqué</v>
      </c>
      <c r="H77" s="234"/>
      <c r="I77" s="233">
        <f ca="1">Backend_5!D62</f>
        <v>0</v>
      </c>
      <c r="J77" s="234"/>
    </row>
    <row r="78" spans="2:10" s="149" customFormat="1" ht="34.200000000000003" customHeight="1" x14ac:dyDescent="0.3">
      <c r="B78" s="246"/>
      <c r="C78" s="246"/>
      <c r="D78" s="246"/>
      <c r="E78" s="231" t="str">
        <f>Backend_5!B63</f>
        <v>Equipements de la salle de bain</v>
      </c>
      <c r="F78" s="232"/>
      <c r="G78" s="233">
        <f ca="1">Backend_5!C63</f>
        <v>0</v>
      </c>
      <c r="H78" s="234"/>
      <c r="I78" s="233">
        <f ca="1">Backend_5!D63</f>
        <v>0</v>
      </c>
      <c r="J78" s="234"/>
    </row>
    <row r="79" spans="2:10" s="149" customFormat="1" ht="19.2" customHeight="1" x14ac:dyDescent="0.3">
      <c r="B79" s="246"/>
      <c r="C79" s="246"/>
      <c r="D79" s="246"/>
      <c r="E79" s="231" t="str">
        <f>Backend_5!B64</f>
        <v>Linge de la salle de bain</v>
      </c>
      <c r="F79" s="232"/>
      <c r="G79" s="233">
        <f ca="1">Backend_5!C64</f>
        <v>0</v>
      </c>
      <c r="H79" s="234"/>
      <c r="I79" s="233" t="str">
        <f ca="1">Backend_5!D64</f>
        <v>Non appliqué</v>
      </c>
      <c r="J79" s="234"/>
    </row>
    <row r="80" spans="2:10" s="149" customFormat="1" ht="16.2" x14ac:dyDescent="0.3">
      <c r="B80" s="246"/>
      <c r="C80" s="246"/>
      <c r="D80" s="246"/>
      <c r="E80" s="231" t="str">
        <f>Backend_5!B65</f>
        <v>Produits d'accueil</v>
      </c>
      <c r="F80" s="232"/>
      <c r="G80" s="233">
        <f ca="1">Backend_5!C65</f>
        <v>0</v>
      </c>
      <c r="H80" s="234"/>
      <c r="I80" s="233">
        <f ca="1">Backend_5!D65</f>
        <v>0</v>
      </c>
      <c r="J80" s="234"/>
    </row>
    <row r="81" spans="2:10" s="149" customFormat="1" ht="16.2" x14ac:dyDescent="0.3">
      <c r="B81" s="231"/>
      <c r="C81" s="231"/>
      <c r="D81" s="231"/>
      <c r="E81" s="231" t="str">
        <f>Backend_5!B66</f>
        <v>Toilettes</v>
      </c>
      <c r="F81" s="232"/>
      <c r="G81" s="233">
        <f ca="1">Backend_5!C66</f>
        <v>0</v>
      </c>
      <c r="H81" s="234"/>
      <c r="I81" s="233">
        <f ca="1">Backend_5!D66</f>
        <v>0</v>
      </c>
      <c r="J81" s="234"/>
    </row>
    <row r="82" spans="2:10" s="149" customFormat="1" ht="16.2" x14ac:dyDescent="0.3">
      <c r="B82" s="245" t="str">
        <f>Backend_5!A67</f>
        <v>Personnel</v>
      </c>
      <c r="C82" s="245"/>
      <c r="D82" s="245"/>
      <c r="E82" s="231" t="str">
        <f>Backend_5!B67</f>
        <v>Vestiaire du personnel</v>
      </c>
      <c r="F82" s="232"/>
      <c r="G82" s="233">
        <f ca="1">Backend_5!C67</f>
        <v>0</v>
      </c>
      <c r="H82" s="234"/>
      <c r="I82" s="233">
        <f ca="1">Backend_5!D67</f>
        <v>0</v>
      </c>
      <c r="J82" s="234"/>
    </row>
    <row r="83" spans="2:10" s="149" customFormat="1" ht="16.2" x14ac:dyDescent="0.3">
      <c r="B83" s="246"/>
      <c r="C83" s="246"/>
      <c r="D83" s="246"/>
      <c r="E83" s="231" t="str">
        <f>Backend_5!B68</f>
        <v>Réfectoire du personnel</v>
      </c>
      <c r="F83" s="232"/>
      <c r="G83" s="233">
        <f ca="1">Backend_5!C68</f>
        <v>0</v>
      </c>
      <c r="H83" s="234"/>
      <c r="I83" s="233" t="str">
        <f ca="1">Backend_5!D68</f>
        <v>Non appliqué</v>
      </c>
      <c r="J83" s="234"/>
    </row>
    <row r="84" spans="2:10" s="149" customFormat="1" ht="16.2" x14ac:dyDescent="0.3">
      <c r="B84" s="231"/>
      <c r="C84" s="231"/>
      <c r="D84" s="231"/>
      <c r="E84" s="231" t="str">
        <f>Backend_5!B69</f>
        <v>Formation et sensibilisation</v>
      </c>
      <c r="F84" s="232"/>
      <c r="G84" s="233" t="str">
        <f ca="1">Backend_5!C69</f>
        <v>Non appliqué</v>
      </c>
      <c r="H84" s="234"/>
      <c r="I84" s="233">
        <f ca="1">Backend_5!D69</f>
        <v>0</v>
      </c>
      <c r="J84" s="234"/>
    </row>
    <row r="85" spans="2:10" s="149" customFormat="1" ht="16.2" x14ac:dyDescent="0.3">
      <c r="B85" s="245" t="str">
        <f>Backend_5!A70</f>
        <v>Electricité, eau et assainissement</v>
      </c>
      <c r="C85" s="245"/>
      <c r="D85" s="245"/>
      <c r="E85" s="231" t="str">
        <f>Backend_5!B70</f>
        <v>Energie</v>
      </c>
      <c r="F85" s="232"/>
      <c r="G85" s="233">
        <f ca="1">Backend_5!C70</f>
        <v>0</v>
      </c>
      <c r="H85" s="234"/>
      <c r="I85" s="233">
        <f ca="1">Backend_5!D70</f>
        <v>0</v>
      </c>
      <c r="J85" s="234"/>
    </row>
    <row r="86" spans="2:10" s="149" customFormat="1" ht="16.2" x14ac:dyDescent="0.3">
      <c r="B86" s="246"/>
      <c r="C86" s="246"/>
      <c r="D86" s="246"/>
      <c r="E86" s="231" t="str">
        <f>Backend_5!B71</f>
        <v>Eau</v>
      </c>
      <c r="F86" s="232"/>
      <c r="G86" s="233">
        <f ca="1">Backend_5!C71</f>
        <v>0</v>
      </c>
      <c r="H86" s="234"/>
      <c r="I86" s="233">
        <f ca="1">Backend_5!D71</f>
        <v>0</v>
      </c>
      <c r="J86" s="234"/>
    </row>
    <row r="87" spans="2:10" s="149" customFormat="1" ht="16.2" x14ac:dyDescent="0.3">
      <c r="B87" s="231"/>
      <c r="C87" s="231"/>
      <c r="D87" s="231"/>
      <c r="E87" s="231" t="str">
        <f>Backend_5!B72</f>
        <v>Assainissement</v>
      </c>
      <c r="F87" s="232"/>
      <c r="G87" s="233">
        <f ca="1">Backend_5!C72</f>
        <v>0</v>
      </c>
      <c r="H87" s="234"/>
      <c r="I87" s="233">
        <f ca="1">Backend_5!D72</f>
        <v>0</v>
      </c>
      <c r="J87" s="234"/>
    </row>
    <row r="88" spans="2:10" s="33" customFormat="1" ht="16.8" customHeight="1" x14ac:dyDescent="0.3">
      <c r="B88" s="35"/>
      <c r="C88" s="35"/>
      <c r="D88" s="35"/>
      <c r="E88" s="35"/>
      <c r="F88" s="35"/>
      <c r="G88" s="35"/>
      <c r="H88" s="35"/>
      <c r="I88" s="35"/>
      <c r="J88" s="35"/>
    </row>
    <row r="89" spans="2:10" x14ac:dyDescent="0.3">
      <c r="B89" s="29"/>
      <c r="C89" s="29"/>
      <c r="D89" s="29"/>
      <c r="E89" s="31"/>
      <c r="F89" s="31"/>
      <c r="G89" s="31"/>
      <c r="H89" s="30"/>
      <c r="I89" s="30"/>
      <c r="J89" s="30"/>
    </row>
    <row r="90" spans="2:10" x14ac:dyDescent="0.3">
      <c r="B90" s="20"/>
      <c r="C90" s="20"/>
      <c r="D90" s="20"/>
      <c r="E90" s="20"/>
      <c r="F90" s="20"/>
      <c r="G90" s="20"/>
      <c r="H90" s="20"/>
      <c r="I90" s="20"/>
      <c r="J90" s="20"/>
    </row>
    <row r="91" spans="2:10" x14ac:dyDescent="0.3">
      <c r="B91" s="20"/>
      <c r="C91" s="20"/>
      <c r="D91" s="20"/>
      <c r="E91" s="20"/>
      <c r="F91" s="20"/>
      <c r="G91" s="20"/>
      <c r="H91" s="20"/>
      <c r="I91" s="20"/>
      <c r="J91" s="20"/>
    </row>
    <row r="92" spans="2:10" x14ac:dyDescent="0.3">
      <c r="B92" s="20"/>
      <c r="C92" s="20"/>
      <c r="D92" s="20"/>
      <c r="E92" s="20"/>
      <c r="F92" s="20"/>
      <c r="G92" s="20"/>
      <c r="H92" s="20"/>
      <c r="I92" s="20"/>
      <c r="J92" s="20"/>
    </row>
    <row r="93" spans="2:10" x14ac:dyDescent="0.3">
      <c r="B93" s="20"/>
      <c r="C93" s="20"/>
      <c r="D93" s="20"/>
      <c r="E93" s="20"/>
      <c r="F93" s="20"/>
      <c r="G93" s="20"/>
      <c r="H93" s="20"/>
      <c r="I93" s="20"/>
      <c r="J93" s="20"/>
    </row>
  </sheetData>
  <sheetProtection sheet="1" pivotTables="0"/>
  <mergeCells count="244">
    <mergeCell ref="E87:F87"/>
    <mergeCell ref="G87:H87"/>
    <mergeCell ref="I87:J87"/>
    <mergeCell ref="B40:D42"/>
    <mergeCell ref="B17:D18"/>
    <mergeCell ref="B19:D21"/>
    <mergeCell ref="B22:D26"/>
    <mergeCell ref="E85:F85"/>
    <mergeCell ref="G85:H85"/>
    <mergeCell ref="I85:J85"/>
    <mergeCell ref="E86:F86"/>
    <mergeCell ref="G86:H86"/>
    <mergeCell ref="I86:J86"/>
    <mergeCell ref="B85:D87"/>
    <mergeCell ref="E83:F83"/>
    <mergeCell ref="G83:H83"/>
    <mergeCell ref="I83:J83"/>
    <mergeCell ref="E84:F84"/>
    <mergeCell ref="G84:H84"/>
    <mergeCell ref="I84:J84"/>
    <mergeCell ref="B82:D84"/>
    <mergeCell ref="E81:F81"/>
    <mergeCell ref="G81:H81"/>
    <mergeCell ref="I81:J81"/>
    <mergeCell ref="E82:F82"/>
    <mergeCell ref="G82:H82"/>
    <mergeCell ref="I82:J82"/>
    <mergeCell ref="B74:D81"/>
    <mergeCell ref="E79:F79"/>
    <mergeCell ref="G79:H79"/>
    <mergeCell ref="I79:J79"/>
    <mergeCell ref="E80:F80"/>
    <mergeCell ref="G80:H80"/>
    <mergeCell ref="I80:J80"/>
    <mergeCell ref="E77:F77"/>
    <mergeCell ref="G77:H77"/>
    <mergeCell ref="I77:J77"/>
    <mergeCell ref="E78:F78"/>
    <mergeCell ref="G78:H78"/>
    <mergeCell ref="I78:J78"/>
    <mergeCell ref="E75:F75"/>
    <mergeCell ref="G75:H75"/>
    <mergeCell ref="I75:J75"/>
    <mergeCell ref="E76:F76"/>
    <mergeCell ref="G76:H76"/>
    <mergeCell ref="I76:J76"/>
    <mergeCell ref="E73:F73"/>
    <mergeCell ref="G73:H73"/>
    <mergeCell ref="I73:J73"/>
    <mergeCell ref="E74:F74"/>
    <mergeCell ref="G74:H74"/>
    <mergeCell ref="I74:J74"/>
    <mergeCell ref="B63:D73"/>
    <mergeCell ref="E71:F71"/>
    <mergeCell ref="G71:H71"/>
    <mergeCell ref="I71:J71"/>
    <mergeCell ref="E72:F72"/>
    <mergeCell ref="G72:H72"/>
    <mergeCell ref="I72:J72"/>
    <mergeCell ref="E69:F69"/>
    <mergeCell ref="G69:H69"/>
    <mergeCell ref="I69:J69"/>
    <mergeCell ref="E70:F70"/>
    <mergeCell ref="G70:H70"/>
    <mergeCell ref="I70:J70"/>
    <mergeCell ref="E67:F67"/>
    <mergeCell ref="G67:H67"/>
    <mergeCell ref="I67:J67"/>
    <mergeCell ref="E68:F68"/>
    <mergeCell ref="G68:H68"/>
    <mergeCell ref="I68:J68"/>
    <mergeCell ref="E65:F65"/>
    <mergeCell ref="G65:H65"/>
    <mergeCell ref="I65:J65"/>
    <mergeCell ref="E66:F66"/>
    <mergeCell ref="G66:H66"/>
    <mergeCell ref="I66:J66"/>
    <mergeCell ref="E63:F63"/>
    <mergeCell ref="G63:H63"/>
    <mergeCell ref="I63:J63"/>
    <mergeCell ref="E64:F64"/>
    <mergeCell ref="G64:H64"/>
    <mergeCell ref="I64:J64"/>
    <mergeCell ref="E61:F61"/>
    <mergeCell ref="G61:H61"/>
    <mergeCell ref="I61:J61"/>
    <mergeCell ref="B62:D62"/>
    <mergeCell ref="E62:F62"/>
    <mergeCell ref="G62:H62"/>
    <mergeCell ref="I62:J62"/>
    <mergeCell ref="B57:D61"/>
    <mergeCell ref="E59:F59"/>
    <mergeCell ref="G59:H59"/>
    <mergeCell ref="I59:J59"/>
    <mergeCell ref="E60:F60"/>
    <mergeCell ref="G60:H60"/>
    <mergeCell ref="I60:J60"/>
    <mergeCell ref="E57:F57"/>
    <mergeCell ref="G57:H57"/>
    <mergeCell ref="I57:J57"/>
    <mergeCell ref="E58:F58"/>
    <mergeCell ref="G58:H58"/>
    <mergeCell ref="I58:J58"/>
    <mergeCell ref="E55:F55"/>
    <mergeCell ref="G55:H55"/>
    <mergeCell ref="I55:J55"/>
    <mergeCell ref="B56:D56"/>
    <mergeCell ref="E56:F56"/>
    <mergeCell ref="G56:H56"/>
    <mergeCell ref="I56:J56"/>
    <mergeCell ref="B51:D55"/>
    <mergeCell ref="E53:F53"/>
    <mergeCell ref="G53:H53"/>
    <mergeCell ref="I53:J53"/>
    <mergeCell ref="E54:F54"/>
    <mergeCell ref="G54:H54"/>
    <mergeCell ref="I54:J54"/>
    <mergeCell ref="E51:F51"/>
    <mergeCell ref="G51:H51"/>
    <mergeCell ref="I51:J51"/>
    <mergeCell ref="E52:F52"/>
    <mergeCell ref="G52:H52"/>
    <mergeCell ref="I52:J52"/>
    <mergeCell ref="E49:F49"/>
    <mergeCell ref="G49:H49"/>
    <mergeCell ref="I49:J49"/>
    <mergeCell ref="E50:F50"/>
    <mergeCell ref="G50:H50"/>
    <mergeCell ref="I50:J50"/>
    <mergeCell ref="B43:D50"/>
    <mergeCell ref="E47:F47"/>
    <mergeCell ref="G47:H47"/>
    <mergeCell ref="I47:J47"/>
    <mergeCell ref="E48:F48"/>
    <mergeCell ref="G48:H48"/>
    <mergeCell ref="I48:J48"/>
    <mergeCell ref="E45:F45"/>
    <mergeCell ref="G45:H45"/>
    <mergeCell ref="I45:J45"/>
    <mergeCell ref="E46:F46"/>
    <mergeCell ref="G46:H46"/>
    <mergeCell ref="I46:J46"/>
    <mergeCell ref="E43:F43"/>
    <mergeCell ref="G43:H43"/>
    <mergeCell ref="I43:J43"/>
    <mergeCell ref="E44:F44"/>
    <mergeCell ref="G44:H44"/>
    <mergeCell ref="I44:J44"/>
    <mergeCell ref="E41:F41"/>
    <mergeCell ref="G41:H41"/>
    <mergeCell ref="I41:J41"/>
    <mergeCell ref="E42:F42"/>
    <mergeCell ref="G42:H42"/>
    <mergeCell ref="I42:J42"/>
    <mergeCell ref="E39:F39"/>
    <mergeCell ref="G39:H39"/>
    <mergeCell ref="I39:J39"/>
    <mergeCell ref="E40:F40"/>
    <mergeCell ref="G40:H40"/>
    <mergeCell ref="I40:J40"/>
    <mergeCell ref="B38:D39"/>
    <mergeCell ref="E37:F37"/>
    <mergeCell ref="G37:H37"/>
    <mergeCell ref="I37:J37"/>
    <mergeCell ref="E38:F38"/>
    <mergeCell ref="G38:H38"/>
    <mergeCell ref="I38:J38"/>
    <mergeCell ref="B36:D37"/>
    <mergeCell ref="E35:F35"/>
    <mergeCell ref="G35:H35"/>
    <mergeCell ref="I35:J35"/>
    <mergeCell ref="E36:F36"/>
    <mergeCell ref="G36:H36"/>
    <mergeCell ref="I36:J36"/>
    <mergeCell ref="B34:D35"/>
    <mergeCell ref="E33:F33"/>
    <mergeCell ref="G33:H33"/>
    <mergeCell ref="I33:J33"/>
    <mergeCell ref="E34:F34"/>
    <mergeCell ref="G34:H34"/>
    <mergeCell ref="I34:J34"/>
    <mergeCell ref="B32:D33"/>
    <mergeCell ref="E30:F30"/>
    <mergeCell ref="G30:H30"/>
    <mergeCell ref="I30:J30"/>
    <mergeCell ref="E31:F31"/>
    <mergeCell ref="G31:H31"/>
    <mergeCell ref="I31:J31"/>
    <mergeCell ref="B30:D31"/>
    <mergeCell ref="E32:F32"/>
    <mergeCell ref="G32:H32"/>
    <mergeCell ref="I32:J32"/>
    <mergeCell ref="E28:F28"/>
    <mergeCell ref="G28:H28"/>
    <mergeCell ref="I28:J28"/>
    <mergeCell ref="E29:F29"/>
    <mergeCell ref="G29:H29"/>
    <mergeCell ref="I29:J29"/>
    <mergeCell ref="B27:D29"/>
    <mergeCell ref="E26:F26"/>
    <mergeCell ref="G26:H26"/>
    <mergeCell ref="I26:J26"/>
    <mergeCell ref="E27:F27"/>
    <mergeCell ref="G27:H27"/>
    <mergeCell ref="I27:J27"/>
    <mergeCell ref="E18:F18"/>
    <mergeCell ref="G18:H18"/>
    <mergeCell ref="I18:J18"/>
    <mergeCell ref="E23:F23"/>
    <mergeCell ref="G23:H23"/>
    <mergeCell ref="I23:J23"/>
    <mergeCell ref="E24:F24"/>
    <mergeCell ref="G24:H24"/>
    <mergeCell ref="I24:J24"/>
    <mergeCell ref="E21:F21"/>
    <mergeCell ref="G21:H21"/>
    <mergeCell ref="I21:J21"/>
    <mergeCell ref="E22:F22"/>
    <mergeCell ref="G22:H22"/>
    <mergeCell ref="I22:J22"/>
    <mergeCell ref="E25:F25"/>
    <mergeCell ref="G25:H25"/>
    <mergeCell ref="I25:J25"/>
    <mergeCell ref="E3:J5"/>
    <mergeCell ref="G11:H11"/>
    <mergeCell ref="I11:J11"/>
    <mergeCell ref="B16:D16"/>
    <mergeCell ref="E16:F16"/>
    <mergeCell ref="G16:H16"/>
    <mergeCell ref="I16:J16"/>
    <mergeCell ref="G9:H10"/>
    <mergeCell ref="B10:D10"/>
    <mergeCell ref="E11:F11"/>
    <mergeCell ref="E19:F19"/>
    <mergeCell ref="G19:H19"/>
    <mergeCell ref="I19:J19"/>
    <mergeCell ref="E20:F20"/>
    <mergeCell ref="G20:H20"/>
    <mergeCell ref="I20:J20"/>
    <mergeCell ref="E12:E14"/>
    <mergeCell ref="J12:J14"/>
    <mergeCell ref="E17:F17"/>
    <mergeCell ref="G17:H17"/>
    <mergeCell ref="I17:J17"/>
  </mergeCells>
  <pageMargins left="0.25" right="0.25" top="0.75" bottom="0.75" header="0.3" footer="0.3"/>
  <pageSetup paperSize="9" scale="69" orientation="portrait" r:id="rId1"/>
  <rowBreaks count="2" manualBreakCount="2">
    <brk id="33" max="10" man="1"/>
    <brk id="62" max="10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08A4-FE1F-480B-970D-ADDB20BED816}">
  <dimension ref="B2:K93"/>
  <sheetViews>
    <sheetView tabSelected="1" showWhiteSpace="0" view="pageBreakPreview" topLeftCell="A43" zoomScale="47" zoomScaleNormal="100" zoomScaleSheetLayoutView="175" zoomScalePageLayoutView="117" workbookViewId="0">
      <selection activeCell="E32" sqref="E32:F32"/>
    </sheetView>
  </sheetViews>
  <sheetFormatPr baseColWidth="10" defaultColWidth="11.6640625" defaultRowHeight="14.4" x14ac:dyDescent="0.3"/>
  <cols>
    <col min="1" max="1" width="3.77734375" style="19" customWidth="1"/>
    <col min="2" max="2" width="11.6640625" style="19" customWidth="1"/>
    <col min="3" max="3" width="11.6640625" style="19"/>
    <col min="4" max="4" width="11.33203125" style="19" customWidth="1"/>
    <col min="5" max="5" width="11.6640625" style="19" customWidth="1"/>
    <col min="6" max="6" width="11.6640625" style="19"/>
    <col min="7" max="7" width="11.33203125" style="19" customWidth="1"/>
    <col min="8" max="9" width="11.6640625" style="19"/>
    <col min="10" max="10" width="11.6640625" style="19" customWidth="1"/>
    <col min="11" max="11" width="3.77734375" style="19" customWidth="1"/>
    <col min="12" max="16384" width="11.6640625" style="19"/>
  </cols>
  <sheetData>
    <row r="2" spans="2:1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2:11" ht="18" customHeight="1" x14ac:dyDescent="0.3">
      <c r="B3" s="22"/>
      <c r="C3" s="22"/>
      <c r="D3" s="22"/>
      <c r="E3" s="235" t="s">
        <v>821</v>
      </c>
      <c r="F3" s="235"/>
      <c r="G3" s="235"/>
      <c r="H3" s="235"/>
      <c r="I3" s="235"/>
      <c r="J3" s="235"/>
      <c r="K3" s="23"/>
    </row>
    <row r="4" spans="2:11" ht="18" customHeight="1" x14ac:dyDescent="0.3">
      <c r="B4" s="20"/>
      <c r="C4" s="20"/>
      <c r="D4" s="20"/>
      <c r="E4" s="235"/>
      <c r="F4" s="235"/>
      <c r="G4" s="235"/>
      <c r="H4" s="235"/>
      <c r="I4" s="235"/>
      <c r="J4" s="235"/>
    </row>
    <row r="5" spans="2:11" x14ac:dyDescent="0.3">
      <c r="B5" s="20"/>
      <c r="C5" s="20"/>
      <c r="D5" s="20"/>
      <c r="E5" s="235"/>
      <c r="F5" s="235"/>
      <c r="G5" s="235"/>
      <c r="H5" s="235"/>
      <c r="I5" s="235"/>
      <c r="J5" s="235"/>
    </row>
    <row r="6" spans="2:11" ht="18" x14ac:dyDescent="0.4">
      <c r="B6" s="21"/>
      <c r="C6" s="21"/>
      <c r="D6" s="28"/>
      <c r="E6" s="21"/>
      <c r="F6" s="21"/>
      <c r="G6" s="21"/>
      <c r="H6" s="20"/>
      <c r="I6" s="20"/>
      <c r="J6" s="21"/>
      <c r="K6" s="24"/>
    </row>
    <row r="7" spans="2:11" ht="14.7" customHeight="1" x14ac:dyDescent="0.4">
      <c r="B7" s="29"/>
      <c r="C7" s="29"/>
      <c r="D7" s="29"/>
      <c r="E7" s="31"/>
      <c r="F7" s="31"/>
      <c r="G7" s="31"/>
      <c r="H7" s="30"/>
      <c r="I7" s="30"/>
      <c r="J7" s="30"/>
      <c r="K7" s="24"/>
    </row>
    <row r="8" spans="2:11" x14ac:dyDescent="0.3">
      <c r="D8" s="34"/>
      <c r="E8" s="34"/>
      <c r="F8" s="34"/>
    </row>
    <row r="9" spans="2:11" ht="14.4" customHeight="1" x14ac:dyDescent="0.3">
      <c r="D9" s="34"/>
      <c r="G9" s="239" t="s">
        <v>820</v>
      </c>
      <c r="H9" s="239"/>
    </row>
    <row r="10" spans="2:11" ht="14.4" customHeight="1" x14ac:dyDescent="0.3">
      <c r="B10" s="236"/>
      <c r="C10" s="236"/>
      <c r="D10" s="236"/>
      <c r="G10" s="239"/>
      <c r="H10" s="239"/>
    </row>
    <row r="11" spans="2:11" x14ac:dyDescent="0.3">
      <c r="E11" s="240"/>
      <c r="F11" s="240"/>
      <c r="G11" s="236"/>
      <c r="H11" s="236"/>
      <c r="I11" s="236"/>
      <c r="J11" s="236"/>
    </row>
    <row r="12" spans="2:11" x14ac:dyDescent="0.3">
      <c r="B12" s="147"/>
      <c r="C12" s="147"/>
      <c r="D12" s="147"/>
      <c r="E12" s="241">
        <f ca="1">Backend_4!N4</f>
        <v>0</v>
      </c>
      <c r="F12" s="148"/>
      <c r="G12" s="147"/>
      <c r="H12" s="147"/>
      <c r="I12" s="147"/>
      <c r="J12" s="241">
        <f ca="1">Backend_4!N4</f>
        <v>0</v>
      </c>
    </row>
    <row r="13" spans="2:11" x14ac:dyDescent="0.3">
      <c r="B13" s="147"/>
      <c r="C13" s="147"/>
      <c r="D13" s="147"/>
      <c r="E13" s="242"/>
      <c r="F13" s="148"/>
      <c r="G13" s="147"/>
      <c r="H13" s="147"/>
      <c r="I13" s="147"/>
      <c r="J13" s="242"/>
    </row>
    <row r="14" spans="2:11" x14ac:dyDescent="0.3">
      <c r="B14" s="147"/>
      <c r="C14" s="147"/>
      <c r="D14" s="147"/>
      <c r="E14" s="242"/>
      <c r="F14" s="148"/>
      <c r="G14" s="147"/>
      <c r="H14" s="147"/>
      <c r="I14" s="147"/>
      <c r="J14" s="242"/>
    </row>
    <row r="15" spans="2:11" x14ac:dyDescent="0.3">
      <c r="B15" s="236"/>
      <c r="C15" s="236"/>
      <c r="D15" s="236"/>
      <c r="E15" s="240"/>
      <c r="F15" s="240"/>
      <c r="G15" s="236"/>
      <c r="H15" s="236"/>
      <c r="I15" s="236"/>
      <c r="J15" s="236"/>
    </row>
    <row r="16" spans="2:11" s="149" customFormat="1" ht="35.4" customHeight="1" x14ac:dyDescent="0.3">
      <c r="B16" s="237" t="str">
        <f>Backend_4!A1</f>
        <v>Bloc de critères</v>
      </c>
      <c r="C16" s="238"/>
      <c r="D16" s="238"/>
      <c r="E16" s="237" t="str">
        <f>Backend_4!B1</f>
        <v>Rubrique</v>
      </c>
      <c r="F16" s="238"/>
      <c r="G16" s="237" t="str">
        <f>Backend_4!C1</f>
        <v>Taux de conformité des critères majeurs</v>
      </c>
      <c r="H16" s="238"/>
      <c r="I16" s="237" t="str">
        <f>Backend_4!D1</f>
        <v>Taux de conformité des critères mineurs</v>
      </c>
      <c r="J16" s="238"/>
    </row>
    <row r="17" spans="2:10" s="149" customFormat="1" ht="16.2" x14ac:dyDescent="0.3">
      <c r="B17" s="245" t="str">
        <f>Backend_4!A2</f>
        <v>Information et réservation</v>
      </c>
      <c r="C17" s="245"/>
      <c r="D17" s="245"/>
      <c r="E17" s="231" t="str">
        <f>Backend_4!B2</f>
        <v>Information</v>
      </c>
      <c r="F17" s="232"/>
      <c r="G17" s="233">
        <f ca="1">Backend_4!C2</f>
        <v>0</v>
      </c>
      <c r="H17" s="234"/>
      <c r="I17" s="233">
        <f ca="1">Backend_4!D2</f>
        <v>0</v>
      </c>
      <c r="J17" s="234"/>
    </row>
    <row r="18" spans="2:10" s="149" customFormat="1" ht="16.2" x14ac:dyDescent="0.3">
      <c r="B18" s="231"/>
      <c r="C18" s="231"/>
      <c r="D18" s="231"/>
      <c r="E18" s="231" t="str">
        <f>Backend_4!B3</f>
        <v>Réservation</v>
      </c>
      <c r="F18" s="232"/>
      <c r="G18" s="233">
        <f ca="1">Backend_4!C3</f>
        <v>0</v>
      </c>
      <c r="H18" s="234"/>
      <c r="I18" s="233" t="str">
        <f ca="1">Backend_4!D3</f>
        <v>Non appliqué</v>
      </c>
      <c r="J18" s="234"/>
    </row>
    <row r="19" spans="2:10" s="149" customFormat="1" ht="16.2" x14ac:dyDescent="0.3">
      <c r="B19" s="245" t="str">
        <f>Backend_4!A4</f>
        <v>Extérieur</v>
      </c>
      <c r="C19" s="245"/>
      <c r="D19" s="245"/>
      <c r="E19" s="231" t="str">
        <f>Backend_4!B4</f>
        <v>Parking et dépose</v>
      </c>
      <c r="F19" s="232"/>
      <c r="G19" s="233">
        <f ca="1">Backend_4!C4</f>
        <v>0</v>
      </c>
      <c r="H19" s="234"/>
      <c r="I19" s="233">
        <f ca="1">Backend_4!D4</f>
        <v>0</v>
      </c>
      <c r="J19" s="234"/>
    </row>
    <row r="20" spans="2:10" s="149" customFormat="1" ht="16.2" x14ac:dyDescent="0.3">
      <c r="B20" s="246"/>
      <c r="C20" s="246"/>
      <c r="D20" s="246"/>
      <c r="E20" s="231" t="str">
        <f>Backend_4!B5</f>
        <v>Jardins</v>
      </c>
      <c r="F20" s="232"/>
      <c r="G20" s="233" t="str">
        <f ca="1">Backend_4!C5</f>
        <v>Non appliqué</v>
      </c>
      <c r="H20" s="234"/>
      <c r="I20" s="233">
        <f ca="1">Backend_4!D5</f>
        <v>0</v>
      </c>
      <c r="J20" s="234"/>
    </row>
    <row r="21" spans="2:10" s="149" customFormat="1" ht="16.2" x14ac:dyDescent="0.3">
      <c r="B21" s="231"/>
      <c r="C21" s="231"/>
      <c r="D21" s="231"/>
      <c r="E21" s="231" t="str">
        <f>Backend_4!B6</f>
        <v>Façades</v>
      </c>
      <c r="F21" s="232"/>
      <c r="G21" s="233">
        <f ca="1">Backend_4!C6</f>
        <v>0</v>
      </c>
      <c r="H21" s="234"/>
      <c r="I21" s="233" t="str">
        <f ca="1">Backend_4!D6</f>
        <v>Non appliqué</v>
      </c>
      <c r="J21" s="234"/>
    </row>
    <row r="22" spans="2:10" s="149" customFormat="1" ht="16.2" x14ac:dyDescent="0.3">
      <c r="B22" s="245" t="str">
        <f>Backend_4!A7</f>
        <v>Accueil et réception</v>
      </c>
      <c r="C22" s="245"/>
      <c r="D22" s="245"/>
      <c r="E22" s="231" t="str">
        <f>Backend_4!B7</f>
        <v>Entrée</v>
      </c>
      <c r="F22" s="232"/>
      <c r="G22" s="233">
        <f ca="1">Backend_4!C7</f>
        <v>0</v>
      </c>
      <c r="H22" s="234"/>
      <c r="I22" s="233">
        <f ca="1">Backend_4!D7</f>
        <v>0</v>
      </c>
      <c r="J22" s="234"/>
    </row>
    <row r="23" spans="2:10" s="149" customFormat="1" ht="16.2" x14ac:dyDescent="0.3">
      <c r="B23" s="246"/>
      <c r="C23" s="246"/>
      <c r="D23" s="246"/>
      <c r="E23" s="231" t="str">
        <f>Backend_4!B8</f>
        <v>Hall d'accueil et salons</v>
      </c>
      <c r="F23" s="232"/>
      <c r="G23" s="233">
        <f ca="1">Backend_4!C8</f>
        <v>0</v>
      </c>
      <c r="H23" s="234"/>
      <c r="I23" s="233">
        <f ca="1">Backend_4!D8</f>
        <v>0</v>
      </c>
      <c r="J23" s="234"/>
    </row>
    <row r="24" spans="2:10" s="149" customFormat="1" ht="16.2" x14ac:dyDescent="0.3">
      <c r="B24" s="246"/>
      <c r="C24" s="246"/>
      <c r="D24" s="246"/>
      <c r="E24" s="231" t="str">
        <f>Backend_4!B9</f>
        <v>Réception</v>
      </c>
      <c r="F24" s="232"/>
      <c r="G24" s="233">
        <f ca="1">Backend_4!C9</f>
        <v>0</v>
      </c>
      <c r="H24" s="234"/>
      <c r="I24" s="233">
        <f ca="1">Backend_4!D9</f>
        <v>0</v>
      </c>
      <c r="J24" s="234"/>
    </row>
    <row r="25" spans="2:10" s="149" customFormat="1" ht="16.2" x14ac:dyDescent="0.3">
      <c r="B25" s="246"/>
      <c r="C25" s="246"/>
      <c r="D25" s="246"/>
      <c r="E25" s="231" t="str">
        <f>Backend_4!B10</f>
        <v>Conciergerie</v>
      </c>
      <c r="F25" s="232"/>
      <c r="G25" s="233">
        <f ca="1">Backend_4!C10</f>
        <v>0</v>
      </c>
      <c r="H25" s="234"/>
      <c r="I25" s="233">
        <f ca="1">Backend_4!D10</f>
        <v>0</v>
      </c>
      <c r="J25" s="234"/>
    </row>
    <row r="26" spans="2:10" s="149" customFormat="1" ht="16.2" x14ac:dyDescent="0.3">
      <c r="B26" s="231"/>
      <c r="C26" s="231"/>
      <c r="D26" s="231"/>
      <c r="E26" s="231" t="str">
        <f>Backend_4!B11</f>
        <v>Bagagerie</v>
      </c>
      <c r="F26" s="232"/>
      <c r="G26" s="233">
        <f ca="1">Backend_4!C11</f>
        <v>0</v>
      </c>
      <c r="H26" s="234"/>
      <c r="I26" s="233">
        <f ca="1">Backend_4!D11</f>
        <v>0</v>
      </c>
      <c r="J26" s="234"/>
    </row>
    <row r="27" spans="2:10" s="149" customFormat="1" ht="16.2" x14ac:dyDescent="0.3">
      <c r="B27" s="245" t="str">
        <f>Backend_4!A12</f>
        <v>Sanitaires publiques</v>
      </c>
      <c r="C27" s="245"/>
      <c r="D27" s="245"/>
      <c r="E27" s="231" t="str">
        <f>Backend_4!B12</f>
        <v>Aspect général</v>
      </c>
      <c r="F27" s="232"/>
      <c r="G27" s="233">
        <f ca="1">Backend_4!C12</f>
        <v>0</v>
      </c>
      <c r="H27" s="234"/>
      <c r="I27" s="233">
        <f ca="1">Backend_4!D12</f>
        <v>0</v>
      </c>
      <c r="J27" s="234"/>
    </row>
    <row r="28" spans="2:10" s="149" customFormat="1" ht="16.2" x14ac:dyDescent="0.3">
      <c r="B28" s="246"/>
      <c r="C28" s="246"/>
      <c r="D28" s="246"/>
      <c r="E28" s="231" t="str">
        <f>Backend_4!B13</f>
        <v>Cabines de toilette</v>
      </c>
      <c r="F28" s="232"/>
      <c r="G28" s="233">
        <f ca="1">Backend_4!C13</f>
        <v>0</v>
      </c>
      <c r="H28" s="234"/>
      <c r="I28" s="233">
        <f ca="1">Backend_4!D13</f>
        <v>0</v>
      </c>
      <c r="J28" s="234"/>
    </row>
    <row r="29" spans="2:10" s="149" customFormat="1" ht="16.2" x14ac:dyDescent="0.3">
      <c r="B29" s="231"/>
      <c r="C29" s="231"/>
      <c r="D29" s="231"/>
      <c r="E29" s="231" t="str">
        <f>Backend_4!B14</f>
        <v>Lavabo</v>
      </c>
      <c r="F29" s="232"/>
      <c r="G29" s="233">
        <f ca="1">Backend_4!C14</f>
        <v>0</v>
      </c>
      <c r="H29" s="234"/>
      <c r="I29" s="233">
        <f ca="1">Backend_4!D14</f>
        <v>0</v>
      </c>
      <c r="J29" s="234"/>
    </row>
    <row r="30" spans="2:10" s="149" customFormat="1" ht="16.2" x14ac:dyDescent="0.3">
      <c r="B30" s="245" t="str">
        <f>Backend_4!A15</f>
        <v>Circulation</v>
      </c>
      <c r="C30" s="245"/>
      <c r="D30" s="245"/>
      <c r="E30" s="231" t="str">
        <f>Backend_4!B15</f>
        <v>Couloirs et allées</v>
      </c>
      <c r="F30" s="232"/>
      <c r="G30" s="233">
        <f ca="1">Backend_4!C15</f>
        <v>0</v>
      </c>
      <c r="H30" s="234"/>
      <c r="I30" s="233">
        <f ca="1">Backend_4!D15</f>
        <v>0</v>
      </c>
      <c r="J30" s="234"/>
    </row>
    <row r="31" spans="2:10" s="149" customFormat="1" ht="16.2" x14ac:dyDescent="0.3">
      <c r="B31" s="231"/>
      <c r="C31" s="231"/>
      <c r="D31" s="231"/>
      <c r="E31" s="231" t="str">
        <f>Backend_4!B16</f>
        <v>Ascenseurs</v>
      </c>
      <c r="F31" s="232"/>
      <c r="G31" s="233">
        <f ca="1">Backend_4!C16</f>
        <v>0</v>
      </c>
      <c r="H31" s="234"/>
      <c r="I31" s="233" t="str">
        <f ca="1">Backend_4!D16</f>
        <v>Non appliqué</v>
      </c>
      <c r="J31" s="234"/>
    </row>
    <row r="32" spans="2:10" s="149" customFormat="1" ht="16.2" x14ac:dyDescent="0.3">
      <c r="B32" s="245" t="str">
        <f>Backend_4!A17</f>
        <v>Petit déjeuner</v>
      </c>
      <c r="C32" s="245"/>
      <c r="D32" s="245"/>
      <c r="E32" s="231" t="str">
        <f>Backend_4!B17</f>
        <v>Généralités</v>
      </c>
      <c r="F32" s="232"/>
      <c r="G32" s="233">
        <f ca="1">Backend_4!C17</f>
        <v>0</v>
      </c>
      <c r="H32" s="234"/>
      <c r="I32" s="233">
        <f ca="1">Backend_4!D17</f>
        <v>0</v>
      </c>
      <c r="J32" s="234"/>
    </row>
    <row r="33" spans="2:10" s="149" customFormat="1" ht="16.2" x14ac:dyDescent="0.3">
      <c r="B33" s="231"/>
      <c r="C33" s="231"/>
      <c r="D33" s="231"/>
      <c r="E33" s="231" t="str">
        <f>Backend_4!B18</f>
        <v>Equipement et mobilier</v>
      </c>
      <c r="F33" s="232"/>
      <c r="G33" s="233">
        <f ca="1">Backend_4!C18</f>
        <v>0</v>
      </c>
      <c r="H33" s="234"/>
      <c r="I33" s="233" t="str">
        <f ca="1">Backend_4!D18</f>
        <v>Non appliqué</v>
      </c>
      <c r="J33" s="234"/>
    </row>
    <row r="34" spans="2:10" s="149" customFormat="1" ht="16.2" x14ac:dyDescent="0.3">
      <c r="B34" s="245" t="str">
        <f>Backend_4!A19</f>
        <v>Restaurant principal</v>
      </c>
      <c r="C34" s="245"/>
      <c r="D34" s="245"/>
      <c r="E34" s="231" t="str">
        <f>Backend_4!B19</f>
        <v>Généralités</v>
      </c>
      <c r="F34" s="232"/>
      <c r="G34" s="233">
        <f ca="1">Backend_4!C19</f>
        <v>0</v>
      </c>
      <c r="H34" s="234"/>
      <c r="I34" s="233">
        <f ca="1">Backend_4!D19</f>
        <v>0</v>
      </c>
      <c r="J34" s="234"/>
    </row>
    <row r="35" spans="2:10" s="149" customFormat="1" ht="16.2" x14ac:dyDescent="0.3">
      <c r="B35" s="231"/>
      <c r="C35" s="231"/>
      <c r="D35" s="231"/>
      <c r="E35" s="231" t="str">
        <f>Backend_4!B20</f>
        <v>Equipement et mobilier</v>
      </c>
      <c r="F35" s="232"/>
      <c r="G35" s="233">
        <f ca="1">Backend_4!C20</f>
        <v>0</v>
      </c>
      <c r="H35" s="234"/>
      <c r="I35" s="233">
        <f ca="1">Backend_4!D20</f>
        <v>0</v>
      </c>
      <c r="J35" s="234"/>
    </row>
    <row r="36" spans="2:10" s="149" customFormat="1" ht="16.2" x14ac:dyDescent="0.3">
      <c r="B36" s="245" t="str">
        <f>Backend_4!A21</f>
        <v>Restaurant thématique</v>
      </c>
      <c r="C36" s="245"/>
      <c r="D36" s="245"/>
      <c r="E36" s="231" t="str">
        <f>Backend_4!B21</f>
        <v>Généralités</v>
      </c>
      <c r="F36" s="232"/>
      <c r="G36" s="233" t="str">
        <f ca="1">Backend_4!C21</f>
        <v>Non appliqué</v>
      </c>
      <c r="H36" s="234"/>
      <c r="I36" s="233">
        <f ca="1">Backend_4!D21</f>
        <v>0</v>
      </c>
      <c r="J36" s="234"/>
    </row>
    <row r="37" spans="2:10" s="149" customFormat="1" ht="16.2" x14ac:dyDescent="0.3">
      <c r="B37" s="231"/>
      <c r="C37" s="231"/>
      <c r="D37" s="231"/>
      <c r="E37" s="231" t="str">
        <f>Backend_4!B22</f>
        <v>Equipement et mobilier</v>
      </c>
      <c r="F37" s="232"/>
      <c r="G37" s="233" t="str">
        <f ca="1">Backend_4!C22</f>
        <v>Non appliqué</v>
      </c>
      <c r="H37" s="234"/>
      <c r="I37" s="233">
        <f ca="1">Backend_4!D22</f>
        <v>0</v>
      </c>
      <c r="J37" s="234"/>
    </row>
    <row r="38" spans="2:10" s="149" customFormat="1" ht="16.2" x14ac:dyDescent="0.3">
      <c r="B38" s="245" t="str">
        <f>Backend_4!A23</f>
        <v>Bar</v>
      </c>
      <c r="C38" s="245"/>
      <c r="D38" s="245"/>
      <c r="E38" s="231" t="str">
        <f>Backend_4!B23</f>
        <v>Généralités</v>
      </c>
      <c r="F38" s="232"/>
      <c r="G38" s="233">
        <f ca="1">Backend_4!C23</f>
        <v>0</v>
      </c>
      <c r="H38" s="234"/>
      <c r="I38" s="233">
        <f ca="1">Backend_4!D23</f>
        <v>0</v>
      </c>
      <c r="J38" s="234"/>
    </row>
    <row r="39" spans="2:10" s="149" customFormat="1" ht="16.2" x14ac:dyDescent="0.3">
      <c r="B39" s="231"/>
      <c r="C39" s="231"/>
      <c r="D39" s="231"/>
      <c r="E39" s="231" t="str">
        <f>Backend_4!B24</f>
        <v>Equipement et mobilier</v>
      </c>
      <c r="F39" s="232"/>
      <c r="G39" s="233">
        <f ca="1">Backend_4!C24</f>
        <v>0</v>
      </c>
      <c r="H39" s="234"/>
      <c r="I39" s="233">
        <f ca="1">Backend_4!D24</f>
        <v>0</v>
      </c>
      <c r="J39" s="234"/>
    </row>
    <row r="40" spans="2:10" s="149" customFormat="1" ht="16.2" x14ac:dyDescent="0.3">
      <c r="B40" s="245" t="str">
        <f>Backend_4!A25</f>
        <v>Salle(s) de séminaires, de réunions et de cérémonies</v>
      </c>
      <c r="C40" s="245"/>
      <c r="D40" s="245"/>
      <c r="E40" s="231" t="str">
        <f>Backend_4!B25</f>
        <v>Salle polyvalente</v>
      </c>
      <c r="F40" s="232"/>
      <c r="G40" s="233" t="str">
        <f ca="1">Backend_4!C25</f>
        <v>Non appliqué</v>
      </c>
      <c r="H40" s="234"/>
      <c r="I40" s="233">
        <f ca="1">Backend_4!D25</f>
        <v>0</v>
      </c>
      <c r="J40" s="234"/>
    </row>
    <row r="41" spans="2:10" s="149" customFormat="1" ht="16.2" x14ac:dyDescent="0.3">
      <c r="B41" s="246"/>
      <c r="C41" s="246"/>
      <c r="D41" s="246"/>
      <c r="E41" s="231" t="str">
        <f>Backend_4!B26</f>
        <v>Salles de réunion</v>
      </c>
      <c r="F41" s="232"/>
      <c r="G41" s="233" t="str">
        <f ca="1">Backend_4!C26</f>
        <v>Non appliqué</v>
      </c>
      <c r="H41" s="234"/>
      <c r="I41" s="233">
        <f ca="1">Backend_4!D26</f>
        <v>0</v>
      </c>
      <c r="J41" s="234"/>
    </row>
    <row r="42" spans="2:10" s="149" customFormat="1" ht="16.2" x14ac:dyDescent="0.3">
      <c r="B42" s="231"/>
      <c r="C42" s="231"/>
      <c r="D42" s="231"/>
      <c r="E42" s="231" t="str">
        <f>Backend_4!B27</f>
        <v>Equipements</v>
      </c>
      <c r="F42" s="232"/>
      <c r="G42" s="233" t="str">
        <f ca="1">Backend_4!C27</f>
        <v>Non appliqué</v>
      </c>
      <c r="H42" s="234"/>
      <c r="I42" s="233">
        <f ca="1">Backend_4!D27</f>
        <v>0</v>
      </c>
      <c r="J42" s="234"/>
    </row>
    <row r="43" spans="2:10" s="149" customFormat="1" ht="16.2" x14ac:dyDescent="0.3">
      <c r="B43" s="245" t="str">
        <f>Backend_4!A28</f>
        <v>Bien-être et fitness</v>
      </c>
      <c r="C43" s="245"/>
      <c r="D43" s="245"/>
      <c r="E43" s="231" t="str">
        <f>Backend_4!B28</f>
        <v>Accueil et information</v>
      </c>
      <c r="F43" s="232"/>
      <c r="G43" s="233" t="str">
        <f ca="1">Backend_4!C28</f>
        <v>Non appliqué</v>
      </c>
      <c r="H43" s="234"/>
      <c r="I43" s="233">
        <f ca="1">Backend_4!D28</f>
        <v>0</v>
      </c>
      <c r="J43" s="234"/>
    </row>
    <row r="44" spans="2:10" s="149" customFormat="1" ht="16.2" x14ac:dyDescent="0.3">
      <c r="B44" s="246"/>
      <c r="C44" s="246"/>
      <c r="D44" s="246"/>
      <c r="E44" s="231" t="str">
        <f>Backend_4!B29</f>
        <v>Hammam</v>
      </c>
      <c r="F44" s="232"/>
      <c r="G44" s="233" t="str">
        <f ca="1">Backend_4!C29</f>
        <v>Non appliqué</v>
      </c>
      <c r="H44" s="234"/>
      <c r="I44" s="233">
        <f ca="1">Backend_4!D29</f>
        <v>0</v>
      </c>
      <c r="J44" s="234"/>
    </row>
    <row r="45" spans="2:10" s="149" customFormat="1" ht="16.2" x14ac:dyDescent="0.3">
      <c r="B45" s="246"/>
      <c r="C45" s="246"/>
      <c r="D45" s="246"/>
      <c r="E45" s="231" t="str">
        <f>Backend_4!B30</f>
        <v>Sauna</v>
      </c>
      <c r="F45" s="232"/>
      <c r="G45" s="233" t="str">
        <f ca="1">Backend_4!C30</f>
        <v>Non appliqué</v>
      </c>
      <c r="H45" s="234"/>
      <c r="I45" s="233">
        <f ca="1">Backend_4!D30</f>
        <v>0</v>
      </c>
      <c r="J45" s="234"/>
    </row>
    <row r="46" spans="2:10" s="149" customFormat="1" ht="16.2" x14ac:dyDescent="0.3">
      <c r="B46" s="246"/>
      <c r="C46" s="246"/>
      <c r="D46" s="246"/>
      <c r="E46" s="231" t="str">
        <f>Backend_4!B31</f>
        <v>Massage</v>
      </c>
      <c r="F46" s="232"/>
      <c r="G46" s="233" t="str">
        <f ca="1">Backend_4!C31</f>
        <v>Non appliqué</v>
      </c>
      <c r="H46" s="234"/>
      <c r="I46" s="233">
        <f ca="1">Backend_4!D31</f>
        <v>0</v>
      </c>
      <c r="J46" s="234"/>
    </row>
    <row r="47" spans="2:10" s="149" customFormat="1" ht="16.2" x14ac:dyDescent="0.3">
      <c r="B47" s="246"/>
      <c r="C47" s="246"/>
      <c r="D47" s="246"/>
      <c r="E47" s="231" t="str">
        <f>Backend_4!B32</f>
        <v>Jacuzzi</v>
      </c>
      <c r="F47" s="232"/>
      <c r="G47" s="233" t="str">
        <f ca="1">Backend_4!C32</f>
        <v>Non appliqué</v>
      </c>
      <c r="H47" s="234"/>
      <c r="I47" s="233">
        <f ca="1">Backend_4!D32</f>
        <v>0</v>
      </c>
      <c r="J47" s="234"/>
    </row>
    <row r="48" spans="2:10" s="149" customFormat="1" ht="16.2" x14ac:dyDescent="0.3">
      <c r="B48" s="246"/>
      <c r="C48" s="246"/>
      <c r="D48" s="246"/>
      <c r="E48" s="231" t="str">
        <f>Backend_4!B33</f>
        <v>Salon de beauté</v>
      </c>
      <c r="F48" s="232"/>
      <c r="G48" s="233" t="str">
        <f ca="1">Backend_4!C33</f>
        <v>Non appliqué</v>
      </c>
      <c r="H48" s="234"/>
      <c r="I48" s="233">
        <f ca="1">Backend_4!D33</f>
        <v>0</v>
      </c>
      <c r="J48" s="234"/>
    </row>
    <row r="49" spans="2:10" s="149" customFormat="1" ht="16.2" x14ac:dyDescent="0.3">
      <c r="B49" s="246"/>
      <c r="C49" s="246"/>
      <c r="D49" s="246"/>
      <c r="E49" s="231" t="str">
        <f>Backend_4!B34</f>
        <v>Salle de fitness</v>
      </c>
      <c r="F49" s="232"/>
      <c r="G49" s="233">
        <f ca="1">Backend_4!C34</f>
        <v>0</v>
      </c>
      <c r="H49" s="234"/>
      <c r="I49" s="233">
        <f ca="1">Backend_4!D34</f>
        <v>0</v>
      </c>
      <c r="J49" s="234"/>
    </row>
    <row r="50" spans="2:10" s="149" customFormat="1" ht="16.2" x14ac:dyDescent="0.3">
      <c r="B50" s="231"/>
      <c r="C50" s="231"/>
      <c r="D50" s="231"/>
      <c r="E50" s="231" t="str">
        <f>Backend_4!B35</f>
        <v>Vestiaires et douche</v>
      </c>
      <c r="F50" s="232"/>
      <c r="G50" s="233">
        <f ca="1">Backend_4!C35</f>
        <v>0</v>
      </c>
      <c r="H50" s="234"/>
      <c r="I50" s="233">
        <f ca="1">Backend_4!D35</f>
        <v>0</v>
      </c>
      <c r="J50" s="234"/>
    </row>
    <row r="51" spans="2:10" s="149" customFormat="1" ht="16.2" x14ac:dyDescent="0.3">
      <c r="B51" s="245" t="str">
        <f>Backend_4!A36</f>
        <v>Piscine extérieure</v>
      </c>
      <c r="C51" s="245"/>
      <c r="D51" s="245"/>
      <c r="E51" s="231" t="str">
        <f>Backend_4!B36</f>
        <v>Généralités</v>
      </c>
      <c r="F51" s="232"/>
      <c r="G51" s="233" t="str">
        <f ca="1">Backend_4!C36</f>
        <v>Non appliqué</v>
      </c>
      <c r="H51" s="234"/>
      <c r="I51" s="233">
        <f ca="1">Backend_4!D36</f>
        <v>0</v>
      </c>
      <c r="J51" s="234"/>
    </row>
    <row r="52" spans="2:10" s="149" customFormat="1" ht="16.2" x14ac:dyDescent="0.3">
      <c r="B52" s="246"/>
      <c r="C52" s="246"/>
      <c r="D52" s="246"/>
      <c r="E52" s="231" t="str">
        <f>Backend_4!B37</f>
        <v>Sécurité de la piscine</v>
      </c>
      <c r="F52" s="232"/>
      <c r="G52" s="233" t="str">
        <f ca="1">Backend_4!C37</f>
        <v>Non appliqué</v>
      </c>
      <c r="H52" s="234"/>
      <c r="I52" s="233">
        <f ca="1">Backend_4!D37</f>
        <v>0</v>
      </c>
      <c r="J52" s="234"/>
    </row>
    <row r="53" spans="2:10" s="149" customFormat="1" ht="32.4" customHeight="1" x14ac:dyDescent="0.3">
      <c r="B53" s="246"/>
      <c r="C53" s="246"/>
      <c r="D53" s="246"/>
      <c r="E53" s="231" t="str">
        <f>Backend_4!B38</f>
        <v>Equipements et mobilier</v>
      </c>
      <c r="F53" s="232"/>
      <c r="G53" s="233" t="str">
        <f ca="1">Backend_4!C38</f>
        <v>Non appliqué</v>
      </c>
      <c r="H53" s="234"/>
      <c r="I53" s="233">
        <f ca="1">Backend_4!D38</f>
        <v>0</v>
      </c>
      <c r="J53" s="234"/>
    </row>
    <row r="54" spans="2:10" s="149" customFormat="1" ht="16.2" x14ac:dyDescent="0.3">
      <c r="B54" s="246"/>
      <c r="C54" s="246"/>
      <c r="D54" s="246"/>
      <c r="E54" s="231" t="str">
        <f>Backend_4!B39</f>
        <v>Snack-bar</v>
      </c>
      <c r="F54" s="232"/>
      <c r="G54" s="233" t="str">
        <f ca="1">Backend_4!C39</f>
        <v>Non appliqué</v>
      </c>
      <c r="H54" s="234"/>
      <c r="I54" s="233">
        <f ca="1">Backend_4!D39</f>
        <v>0</v>
      </c>
      <c r="J54" s="234"/>
    </row>
    <row r="55" spans="2:10" s="149" customFormat="1" ht="16.2" x14ac:dyDescent="0.3">
      <c r="B55" s="231"/>
      <c r="C55" s="231"/>
      <c r="D55" s="231"/>
      <c r="E55" s="231" t="str">
        <f>Backend_4!B40</f>
        <v>Vestiaires et sanitaires</v>
      </c>
      <c r="F55" s="232"/>
      <c r="G55" s="233" t="str">
        <f ca="1">Backend_4!C40</f>
        <v>Non appliqué</v>
      </c>
      <c r="H55" s="234"/>
      <c r="I55" s="233">
        <f ca="1">Backend_4!D40</f>
        <v>0</v>
      </c>
      <c r="J55" s="234"/>
    </row>
    <row r="56" spans="2:10" s="149" customFormat="1" ht="16.2" x14ac:dyDescent="0.3">
      <c r="B56" s="231" t="str">
        <f>Backend_4!A41</f>
        <v>Piscine pour enfants</v>
      </c>
      <c r="C56" s="232"/>
      <c r="D56" s="232"/>
      <c r="E56" s="231" t="str">
        <f>Backend_4!B41</f>
        <v>Piscine pour enfants</v>
      </c>
      <c r="F56" s="232"/>
      <c r="G56" s="233" t="str">
        <f ca="1">Backend_4!C41</f>
        <v>Non appliqué</v>
      </c>
      <c r="H56" s="234"/>
      <c r="I56" s="233">
        <f ca="1">Backend_4!D41</f>
        <v>0</v>
      </c>
      <c r="J56" s="234"/>
    </row>
    <row r="57" spans="2:10" s="149" customFormat="1" ht="16.2" x14ac:dyDescent="0.3">
      <c r="B57" s="245" t="str">
        <f>Backend_4!A42</f>
        <v>Autres animations</v>
      </c>
      <c r="C57" s="245"/>
      <c r="D57" s="245"/>
      <c r="E57" s="231" t="str">
        <f>Backend_4!B42</f>
        <v>Night-club ou discothèque</v>
      </c>
      <c r="F57" s="232"/>
      <c r="G57" s="233" t="str">
        <f ca="1">Backend_4!C42</f>
        <v>Non appliqué</v>
      </c>
      <c r="H57" s="234"/>
      <c r="I57" s="233">
        <f ca="1">Backend_4!D42</f>
        <v>0</v>
      </c>
      <c r="J57" s="234"/>
    </row>
    <row r="58" spans="2:10" s="149" customFormat="1" ht="30" customHeight="1" x14ac:dyDescent="0.3">
      <c r="B58" s="246"/>
      <c r="C58" s="246"/>
      <c r="D58" s="246"/>
      <c r="E58" s="231" t="str">
        <f>Backend_4!B43</f>
        <v>Animation 2 (à préciser lors de l'audit)</v>
      </c>
      <c r="F58" s="232"/>
      <c r="G58" s="233" t="str">
        <f ca="1">Backend_4!C43</f>
        <v>Non appliqué</v>
      </c>
      <c r="H58" s="234"/>
      <c r="I58" s="233">
        <f ca="1">Backend_4!D43</f>
        <v>0</v>
      </c>
      <c r="J58" s="234"/>
    </row>
    <row r="59" spans="2:10" s="149" customFormat="1" ht="30" customHeight="1" x14ac:dyDescent="0.3">
      <c r="B59" s="246"/>
      <c r="C59" s="246"/>
      <c r="D59" s="246"/>
      <c r="E59" s="231" t="str">
        <f>Backend_4!B44</f>
        <v>Animation 3 (à préciser lors de l'audit)</v>
      </c>
      <c r="F59" s="232"/>
      <c r="G59" s="233" t="str">
        <f ca="1">Backend_4!C44</f>
        <v>Non appliqué</v>
      </c>
      <c r="H59" s="234"/>
      <c r="I59" s="233">
        <f ca="1">Backend_4!D44</f>
        <v>0</v>
      </c>
      <c r="J59" s="234"/>
    </row>
    <row r="60" spans="2:10" s="149" customFormat="1" ht="30" customHeight="1" x14ac:dyDescent="0.3">
      <c r="B60" s="246"/>
      <c r="C60" s="246"/>
      <c r="D60" s="246"/>
      <c r="E60" s="231" t="str">
        <f>Backend_4!B45</f>
        <v>Animation 4 (à préciser lors de l'audit)</v>
      </c>
      <c r="F60" s="232"/>
      <c r="G60" s="233" t="str">
        <f ca="1">Backend_4!C45</f>
        <v>Non appliqué</v>
      </c>
      <c r="H60" s="234"/>
      <c r="I60" s="233">
        <f ca="1">Backend_4!D45</f>
        <v>0</v>
      </c>
      <c r="J60" s="234"/>
    </row>
    <row r="61" spans="2:10" s="149" customFormat="1" ht="30" customHeight="1" x14ac:dyDescent="0.3">
      <c r="B61" s="231"/>
      <c r="C61" s="231"/>
      <c r="D61" s="231"/>
      <c r="E61" s="231" t="str">
        <f>Backend_4!B46</f>
        <v>Autres animations (à préciser lors de l'audit)</v>
      </c>
      <c r="F61" s="232"/>
      <c r="G61" s="233" t="str">
        <f ca="1">Backend_4!C46</f>
        <v>Non appliqué</v>
      </c>
      <c r="H61" s="234"/>
      <c r="I61" s="233">
        <f ca="1">Backend_4!D46</f>
        <v>0</v>
      </c>
      <c r="J61" s="234"/>
    </row>
    <row r="62" spans="2:10" s="149" customFormat="1" ht="16.2" x14ac:dyDescent="0.3">
      <c r="B62" s="231" t="str">
        <f>Backend_4!A47</f>
        <v>Boutique</v>
      </c>
      <c r="C62" s="232"/>
      <c r="D62" s="232"/>
      <c r="E62" s="231" t="str">
        <f>Backend_4!B47</f>
        <v>Boutique</v>
      </c>
      <c r="F62" s="232"/>
      <c r="G62" s="233" t="str">
        <f ca="1">Backend_4!C47</f>
        <v>Non appliqué</v>
      </c>
      <c r="H62" s="234"/>
      <c r="I62" s="233">
        <f ca="1">Backend_4!D47</f>
        <v>0</v>
      </c>
      <c r="J62" s="234"/>
    </row>
    <row r="63" spans="2:10" s="149" customFormat="1" ht="16.2" x14ac:dyDescent="0.3">
      <c r="B63" s="245" t="str">
        <f>Backend_4!A48</f>
        <v>Espaces d'habitation</v>
      </c>
      <c r="C63" s="245"/>
      <c r="D63" s="245"/>
      <c r="E63" s="231" t="str">
        <f>Backend_4!B48</f>
        <v>Généralités</v>
      </c>
      <c r="F63" s="232"/>
      <c r="G63" s="233">
        <f ca="1">Backend_4!C48</f>
        <v>0</v>
      </c>
      <c r="H63" s="234"/>
      <c r="I63" s="233">
        <f ca="1">Backend_4!D48</f>
        <v>0</v>
      </c>
      <c r="J63" s="234"/>
    </row>
    <row r="64" spans="2:10" s="149" customFormat="1" ht="16.2" x14ac:dyDescent="0.3">
      <c r="B64" s="246"/>
      <c r="C64" s="246"/>
      <c r="D64" s="246"/>
      <c r="E64" s="231" t="str">
        <f>Backend_4!B49</f>
        <v>Porte</v>
      </c>
      <c r="F64" s="232"/>
      <c r="G64" s="233">
        <f ca="1">Backend_4!C49</f>
        <v>0</v>
      </c>
      <c r="H64" s="234"/>
      <c r="I64" s="233" t="str">
        <f ca="1">Backend_4!D49</f>
        <v>Non appliqué</v>
      </c>
      <c r="J64" s="234"/>
    </row>
    <row r="65" spans="2:10" s="149" customFormat="1" ht="30.6" customHeight="1" x14ac:dyDescent="0.3">
      <c r="B65" s="246"/>
      <c r="C65" s="246"/>
      <c r="D65" s="246"/>
      <c r="E65" s="231" t="str">
        <f>Backend_4!B50</f>
        <v>Placard/penderie/dressing</v>
      </c>
      <c r="F65" s="232"/>
      <c r="G65" s="233">
        <f ca="1">Backend_4!C50</f>
        <v>0</v>
      </c>
      <c r="H65" s="234"/>
      <c r="I65" s="233" t="str">
        <f ca="1">Backend_4!D50</f>
        <v>Non appliqué</v>
      </c>
      <c r="J65" s="234"/>
    </row>
    <row r="66" spans="2:10" s="149" customFormat="1" ht="16.2" x14ac:dyDescent="0.3">
      <c r="B66" s="246"/>
      <c r="C66" s="246"/>
      <c r="D66" s="246"/>
      <c r="E66" s="231" t="str">
        <f>Backend_4!B51</f>
        <v>Literie</v>
      </c>
      <c r="F66" s="232"/>
      <c r="G66" s="233">
        <f ca="1">Backend_4!C51</f>
        <v>0</v>
      </c>
      <c r="H66" s="234"/>
      <c r="I66" s="233" t="str">
        <f ca="1">Backend_4!D51</f>
        <v>Non appliqué</v>
      </c>
      <c r="J66" s="234"/>
    </row>
    <row r="67" spans="2:10" s="149" customFormat="1" ht="16.2" x14ac:dyDescent="0.3">
      <c r="B67" s="246"/>
      <c r="C67" s="246"/>
      <c r="D67" s="246"/>
      <c r="E67" s="231" t="str">
        <f>Backend_4!B52</f>
        <v>Rideaux</v>
      </c>
      <c r="F67" s="232"/>
      <c r="G67" s="233">
        <f ca="1">Backend_4!C52</f>
        <v>0</v>
      </c>
      <c r="H67" s="234"/>
      <c r="I67" s="233" t="str">
        <f ca="1">Backend_4!D52</f>
        <v>Non appliqué</v>
      </c>
      <c r="J67" s="234"/>
    </row>
    <row r="68" spans="2:10" s="149" customFormat="1" ht="16.2" x14ac:dyDescent="0.3">
      <c r="B68" s="246"/>
      <c r="C68" s="246"/>
      <c r="D68" s="246"/>
      <c r="E68" s="231" t="str">
        <f>Backend_4!B53</f>
        <v>Mobilier</v>
      </c>
      <c r="F68" s="232"/>
      <c r="G68" s="233">
        <f ca="1">Backend_4!C53</f>
        <v>0</v>
      </c>
      <c r="H68" s="234"/>
      <c r="I68" s="233" t="str">
        <f ca="1">Backend_4!D53</f>
        <v>Non appliqué</v>
      </c>
      <c r="J68" s="234"/>
    </row>
    <row r="69" spans="2:10" s="149" customFormat="1" ht="16.2" x14ac:dyDescent="0.3">
      <c r="B69" s="246"/>
      <c r="C69" s="246"/>
      <c r="D69" s="246"/>
      <c r="E69" s="231" t="str">
        <f>Backend_4!B54</f>
        <v>Télévision</v>
      </c>
      <c r="F69" s="232"/>
      <c r="G69" s="233">
        <f ca="1">Backend_4!C54</f>
        <v>0</v>
      </c>
      <c r="H69" s="234"/>
      <c r="I69" s="233">
        <f ca="1">Backend_4!D54</f>
        <v>0</v>
      </c>
      <c r="J69" s="234"/>
    </row>
    <row r="70" spans="2:10" s="149" customFormat="1" ht="16.2" x14ac:dyDescent="0.3">
      <c r="B70" s="246"/>
      <c r="C70" s="246"/>
      <c r="D70" s="246"/>
      <c r="E70" s="231" t="str">
        <f>Backend_4!B55</f>
        <v>Téléphone et Internet</v>
      </c>
      <c r="F70" s="232"/>
      <c r="G70" s="233">
        <f ca="1">Backend_4!C55</f>
        <v>0</v>
      </c>
      <c r="H70" s="234"/>
      <c r="I70" s="233" t="str">
        <f ca="1">Backend_4!D55</f>
        <v>Non appliqué</v>
      </c>
      <c r="J70" s="234"/>
    </row>
    <row r="71" spans="2:10" s="149" customFormat="1" ht="34.200000000000003" customHeight="1" x14ac:dyDescent="0.3">
      <c r="B71" s="246"/>
      <c r="C71" s="246"/>
      <c r="D71" s="246"/>
      <c r="E71" s="231" t="str">
        <f>Backend_4!B56</f>
        <v>Equipements électriques et éclairage</v>
      </c>
      <c r="F71" s="232"/>
      <c r="G71" s="233">
        <f ca="1">Backend_4!C56</f>
        <v>0</v>
      </c>
      <c r="H71" s="234"/>
      <c r="I71" s="233">
        <f ca="1">Backend_4!D56</f>
        <v>0</v>
      </c>
      <c r="J71" s="234"/>
    </row>
    <row r="72" spans="2:10" s="149" customFormat="1" ht="16.2" x14ac:dyDescent="0.3">
      <c r="B72" s="246"/>
      <c r="C72" s="246"/>
      <c r="D72" s="246"/>
      <c r="E72" s="231" t="str">
        <f>Backend_4!B57</f>
        <v>Autres équipements</v>
      </c>
      <c r="F72" s="232"/>
      <c r="G72" s="233">
        <f ca="1">Backend_4!C57</f>
        <v>0</v>
      </c>
      <c r="H72" s="234"/>
      <c r="I72" s="233">
        <f ca="1">Backend_4!D57</f>
        <v>0</v>
      </c>
      <c r="J72" s="234"/>
    </row>
    <row r="73" spans="2:10" s="149" customFormat="1" ht="16.2" x14ac:dyDescent="0.3">
      <c r="B73" s="231"/>
      <c r="C73" s="231"/>
      <c r="D73" s="231"/>
      <c r="E73" s="231" t="str">
        <f>Backend_4!B58</f>
        <v>Services</v>
      </c>
      <c r="F73" s="232"/>
      <c r="G73" s="233">
        <f ca="1">Backend_4!C58</f>
        <v>0</v>
      </c>
      <c r="H73" s="234"/>
      <c r="I73" s="233">
        <f ca="1">Backend_4!D58</f>
        <v>0</v>
      </c>
      <c r="J73" s="234"/>
    </row>
    <row r="74" spans="2:10" s="149" customFormat="1" ht="16.2" x14ac:dyDescent="0.3">
      <c r="B74" s="245" t="str">
        <f>Backend_4!A59</f>
        <v>Salle de bain et toilettes</v>
      </c>
      <c r="C74" s="245"/>
      <c r="D74" s="245"/>
      <c r="E74" s="231" t="str">
        <f>Backend_4!B59</f>
        <v>Généralités</v>
      </c>
      <c r="F74" s="232"/>
      <c r="G74" s="233">
        <f ca="1">Backend_4!C59</f>
        <v>0</v>
      </c>
      <c r="H74" s="234"/>
      <c r="I74" s="233">
        <f ca="1">Backend_4!D59</f>
        <v>0</v>
      </c>
      <c r="J74" s="234"/>
    </row>
    <row r="75" spans="2:10" s="149" customFormat="1" ht="16.2" x14ac:dyDescent="0.3">
      <c r="B75" s="246"/>
      <c r="C75" s="246"/>
      <c r="D75" s="246"/>
      <c r="E75" s="231" t="str">
        <f>Backend_4!B60</f>
        <v>Lavabo</v>
      </c>
      <c r="F75" s="232"/>
      <c r="G75" s="233">
        <f ca="1">Backend_4!C60</f>
        <v>0</v>
      </c>
      <c r="H75" s="234"/>
      <c r="I75" s="233">
        <f ca="1">Backend_4!D60</f>
        <v>0</v>
      </c>
      <c r="J75" s="234"/>
    </row>
    <row r="76" spans="2:10" s="149" customFormat="1" ht="16.2" x14ac:dyDescent="0.3">
      <c r="B76" s="246"/>
      <c r="C76" s="246"/>
      <c r="D76" s="246"/>
      <c r="E76" s="231" t="str">
        <f>Backend_4!B61</f>
        <v>Douche</v>
      </c>
      <c r="F76" s="232"/>
      <c r="G76" s="233">
        <f ca="1">Backend_4!C61</f>
        <v>0</v>
      </c>
      <c r="H76" s="234"/>
      <c r="I76" s="233">
        <f ca="1">Backend_4!D61</f>
        <v>0</v>
      </c>
      <c r="J76" s="234"/>
    </row>
    <row r="77" spans="2:10" s="149" customFormat="1" ht="16.2" x14ac:dyDescent="0.3">
      <c r="B77" s="246"/>
      <c r="C77" s="246"/>
      <c r="D77" s="246"/>
      <c r="E77" s="231" t="str">
        <f>Backend_4!B62</f>
        <v>Baignoire</v>
      </c>
      <c r="F77" s="232"/>
      <c r="G77" s="233" t="str">
        <f ca="1">Backend_4!C62</f>
        <v>Non appliqué</v>
      </c>
      <c r="H77" s="234"/>
      <c r="I77" s="233">
        <f ca="1">Backend_4!D62</f>
        <v>0</v>
      </c>
      <c r="J77" s="234"/>
    </row>
    <row r="78" spans="2:10" s="149" customFormat="1" ht="34.200000000000003" customHeight="1" x14ac:dyDescent="0.3">
      <c r="B78" s="246"/>
      <c r="C78" s="246"/>
      <c r="D78" s="246"/>
      <c r="E78" s="231" t="str">
        <f>Backend_4!B63</f>
        <v>Equipements de la salle de bain</v>
      </c>
      <c r="F78" s="232"/>
      <c r="G78" s="233">
        <f ca="1">Backend_4!C63</f>
        <v>0</v>
      </c>
      <c r="H78" s="234"/>
      <c r="I78" s="233">
        <f ca="1">Backend_4!D63</f>
        <v>0</v>
      </c>
      <c r="J78" s="234"/>
    </row>
    <row r="79" spans="2:10" s="149" customFormat="1" ht="19.2" customHeight="1" x14ac:dyDescent="0.3">
      <c r="B79" s="246"/>
      <c r="C79" s="246"/>
      <c r="D79" s="246"/>
      <c r="E79" s="231" t="str">
        <f>Backend_4!B64</f>
        <v>Linge de la salle de bain</v>
      </c>
      <c r="F79" s="232"/>
      <c r="G79" s="233">
        <f ca="1">Backend_4!C64</f>
        <v>0</v>
      </c>
      <c r="H79" s="234"/>
      <c r="I79" s="233">
        <f ca="1">Backend_4!D64</f>
        <v>0</v>
      </c>
      <c r="J79" s="234"/>
    </row>
    <row r="80" spans="2:10" s="149" customFormat="1" ht="16.2" x14ac:dyDescent="0.3">
      <c r="B80" s="246"/>
      <c r="C80" s="246"/>
      <c r="D80" s="246"/>
      <c r="E80" s="231" t="str">
        <f>Backend_4!B65</f>
        <v>Produits d'accueil</v>
      </c>
      <c r="F80" s="232"/>
      <c r="G80" s="233">
        <f ca="1">Backend_4!C65</f>
        <v>0</v>
      </c>
      <c r="H80" s="234"/>
      <c r="I80" s="233">
        <f ca="1">Backend_4!D65</f>
        <v>0</v>
      </c>
      <c r="J80" s="234"/>
    </row>
    <row r="81" spans="2:10" s="149" customFormat="1" ht="16.2" x14ac:dyDescent="0.3">
      <c r="B81" s="231"/>
      <c r="C81" s="231"/>
      <c r="D81" s="231"/>
      <c r="E81" s="231" t="str">
        <f>Backend_4!B66</f>
        <v>Toilettes</v>
      </c>
      <c r="F81" s="232"/>
      <c r="G81" s="233">
        <f ca="1">Backend_4!C66</f>
        <v>0</v>
      </c>
      <c r="H81" s="234"/>
      <c r="I81" s="233">
        <f ca="1">Backend_4!D66</f>
        <v>0</v>
      </c>
      <c r="J81" s="234"/>
    </row>
    <row r="82" spans="2:10" s="149" customFormat="1" ht="16.2" x14ac:dyDescent="0.3">
      <c r="B82" s="245" t="str">
        <f>Backend_4!A67</f>
        <v>Personnel</v>
      </c>
      <c r="C82" s="245"/>
      <c r="D82" s="245"/>
      <c r="E82" s="231" t="str">
        <f>Backend_4!B67</f>
        <v>Vestiaire du personnel</v>
      </c>
      <c r="F82" s="232"/>
      <c r="G82" s="233">
        <f ca="1">Backend_4!C67</f>
        <v>0</v>
      </c>
      <c r="H82" s="234"/>
      <c r="I82" s="233">
        <f ca="1">Backend_4!D67</f>
        <v>0</v>
      </c>
      <c r="J82" s="234"/>
    </row>
    <row r="83" spans="2:10" s="149" customFormat="1" ht="16.2" x14ac:dyDescent="0.3">
      <c r="B83" s="246"/>
      <c r="C83" s="246"/>
      <c r="D83" s="246"/>
      <c r="E83" s="231" t="str">
        <f>Backend_4!B68</f>
        <v>Réfectoire du personnel</v>
      </c>
      <c r="F83" s="232"/>
      <c r="G83" s="233">
        <f ca="1">Backend_4!C68</f>
        <v>0</v>
      </c>
      <c r="H83" s="234"/>
      <c r="I83" s="233" t="str">
        <f ca="1">Backend_4!D68</f>
        <v>Non appliqué</v>
      </c>
      <c r="J83" s="234"/>
    </row>
    <row r="84" spans="2:10" s="149" customFormat="1" ht="16.2" x14ac:dyDescent="0.3">
      <c r="B84" s="231"/>
      <c r="C84" s="231"/>
      <c r="D84" s="231"/>
      <c r="E84" s="231" t="str">
        <f>Backend_4!B69</f>
        <v>Formation et sensibilisation</v>
      </c>
      <c r="F84" s="232"/>
      <c r="G84" s="233" t="str">
        <f ca="1">Backend_4!C69</f>
        <v>Non appliqué</v>
      </c>
      <c r="H84" s="234"/>
      <c r="I84" s="233">
        <f ca="1">Backend_4!D69</f>
        <v>0</v>
      </c>
      <c r="J84" s="234"/>
    </row>
    <row r="85" spans="2:10" s="149" customFormat="1" ht="16.2" x14ac:dyDescent="0.3">
      <c r="B85" s="245" t="str">
        <f>Backend_4!A70</f>
        <v>Electricité, eau et assainissement</v>
      </c>
      <c r="C85" s="245"/>
      <c r="D85" s="245"/>
      <c r="E85" s="231" t="str">
        <f>Backend_4!B70</f>
        <v>Energie</v>
      </c>
      <c r="F85" s="232"/>
      <c r="G85" s="233">
        <f ca="1">Backend_4!C70</f>
        <v>0</v>
      </c>
      <c r="H85" s="234"/>
      <c r="I85" s="233">
        <f ca="1">Backend_4!D70</f>
        <v>0</v>
      </c>
      <c r="J85" s="234"/>
    </row>
    <row r="86" spans="2:10" s="149" customFormat="1" ht="16.2" x14ac:dyDescent="0.3">
      <c r="B86" s="246"/>
      <c r="C86" s="246"/>
      <c r="D86" s="246"/>
      <c r="E86" s="231" t="str">
        <f>Backend_4!B71</f>
        <v>Eau</v>
      </c>
      <c r="F86" s="232"/>
      <c r="G86" s="233">
        <f ca="1">Backend_4!C71</f>
        <v>0</v>
      </c>
      <c r="H86" s="234"/>
      <c r="I86" s="233">
        <f ca="1">Backend_4!D71</f>
        <v>0</v>
      </c>
      <c r="J86" s="234"/>
    </row>
    <row r="87" spans="2:10" s="149" customFormat="1" ht="16.2" x14ac:dyDescent="0.3">
      <c r="B87" s="231"/>
      <c r="C87" s="231"/>
      <c r="D87" s="231"/>
      <c r="E87" s="231" t="str">
        <f>Backend_4!B72</f>
        <v>Assainissement</v>
      </c>
      <c r="F87" s="232"/>
      <c r="G87" s="233">
        <f ca="1">Backend_4!C72</f>
        <v>0</v>
      </c>
      <c r="H87" s="234"/>
      <c r="I87" s="233">
        <f ca="1">Backend_4!D72</f>
        <v>0</v>
      </c>
      <c r="J87" s="234"/>
    </row>
    <row r="88" spans="2:10" s="33" customFormat="1" ht="16.8" customHeight="1" x14ac:dyDescent="0.3">
      <c r="B88" s="35"/>
      <c r="C88" s="35"/>
      <c r="D88" s="35"/>
      <c r="E88" s="35"/>
      <c r="F88" s="35"/>
      <c r="G88" s="35"/>
      <c r="H88" s="35"/>
      <c r="I88" s="35"/>
      <c r="J88" s="35"/>
    </row>
    <row r="89" spans="2:10" x14ac:dyDescent="0.3">
      <c r="B89" s="29"/>
      <c r="C89" s="29"/>
      <c r="D89" s="29"/>
      <c r="E89" s="31"/>
      <c r="F89" s="31"/>
      <c r="G89" s="31"/>
      <c r="H89" s="30"/>
      <c r="I89" s="30"/>
      <c r="J89" s="30"/>
    </row>
    <row r="90" spans="2:10" x14ac:dyDescent="0.3">
      <c r="B90" s="20"/>
      <c r="C90" s="20"/>
      <c r="D90" s="20"/>
      <c r="E90" s="20"/>
      <c r="F90" s="20"/>
      <c r="G90" s="20"/>
      <c r="H90" s="20"/>
      <c r="I90" s="20"/>
      <c r="J90" s="20"/>
    </row>
    <row r="91" spans="2:10" x14ac:dyDescent="0.3">
      <c r="B91" s="20"/>
      <c r="C91" s="20"/>
      <c r="D91" s="20"/>
      <c r="E91" s="20"/>
      <c r="F91" s="20"/>
      <c r="G91" s="20"/>
      <c r="H91" s="20"/>
      <c r="I91" s="20"/>
      <c r="J91" s="20"/>
    </row>
    <row r="92" spans="2:10" x14ac:dyDescent="0.3">
      <c r="B92" s="20"/>
      <c r="C92" s="20"/>
      <c r="D92" s="20"/>
      <c r="E92" s="20"/>
      <c r="F92" s="20"/>
      <c r="G92" s="20"/>
      <c r="H92" s="20"/>
      <c r="I92" s="20"/>
      <c r="J92" s="20"/>
    </row>
    <row r="93" spans="2:10" x14ac:dyDescent="0.3">
      <c r="B93" s="20"/>
      <c r="C93" s="20"/>
      <c r="D93" s="20"/>
      <c r="E93" s="20"/>
      <c r="F93" s="20"/>
      <c r="G93" s="20"/>
      <c r="H93" s="20"/>
      <c r="I93" s="20"/>
      <c r="J93" s="20"/>
    </row>
  </sheetData>
  <sheetProtection sheet="1" pivotTables="0"/>
  <mergeCells count="248">
    <mergeCell ref="B82:D84"/>
    <mergeCell ref="E82:F82"/>
    <mergeCell ref="G82:H82"/>
    <mergeCell ref="I82:J82"/>
    <mergeCell ref="E83:F83"/>
    <mergeCell ref="G83:H83"/>
    <mergeCell ref="I83:J83"/>
    <mergeCell ref="E84:F84"/>
    <mergeCell ref="B85:D87"/>
    <mergeCell ref="E85:F85"/>
    <mergeCell ref="G85:H85"/>
    <mergeCell ref="I85:J85"/>
    <mergeCell ref="E86:F86"/>
    <mergeCell ref="G86:H86"/>
    <mergeCell ref="I86:J86"/>
    <mergeCell ref="E87:F87"/>
    <mergeCell ref="G87:H87"/>
    <mergeCell ref="I87:J87"/>
    <mergeCell ref="E73:F73"/>
    <mergeCell ref="G73:H73"/>
    <mergeCell ref="I73:J73"/>
    <mergeCell ref="G84:H84"/>
    <mergeCell ref="I84:J84"/>
    <mergeCell ref="E80:F80"/>
    <mergeCell ref="G80:H80"/>
    <mergeCell ref="I80:J80"/>
    <mergeCell ref="E81:F81"/>
    <mergeCell ref="G81:H81"/>
    <mergeCell ref="I81:J81"/>
    <mergeCell ref="E78:F78"/>
    <mergeCell ref="G78:H78"/>
    <mergeCell ref="I78:J78"/>
    <mergeCell ref="E79:F79"/>
    <mergeCell ref="G79:H79"/>
    <mergeCell ref="I79:J79"/>
    <mergeCell ref="G67:H67"/>
    <mergeCell ref="I67:J67"/>
    <mergeCell ref="E68:F68"/>
    <mergeCell ref="G68:H68"/>
    <mergeCell ref="I68:J68"/>
    <mergeCell ref="B74:D81"/>
    <mergeCell ref="E74:F74"/>
    <mergeCell ref="G74:H74"/>
    <mergeCell ref="I74:J74"/>
    <mergeCell ref="E75:F75"/>
    <mergeCell ref="G75:H75"/>
    <mergeCell ref="I75:J75"/>
    <mergeCell ref="E71:F71"/>
    <mergeCell ref="G71:H71"/>
    <mergeCell ref="I71:J71"/>
    <mergeCell ref="E72:F72"/>
    <mergeCell ref="G72:H72"/>
    <mergeCell ref="I72:J72"/>
    <mergeCell ref="E76:F76"/>
    <mergeCell ref="G76:H76"/>
    <mergeCell ref="I76:J76"/>
    <mergeCell ref="E77:F77"/>
    <mergeCell ref="G77:H77"/>
    <mergeCell ref="I77:J77"/>
    <mergeCell ref="I64:J64"/>
    <mergeCell ref="E65:F65"/>
    <mergeCell ref="G65:H65"/>
    <mergeCell ref="I65:J65"/>
    <mergeCell ref="E66:F66"/>
    <mergeCell ref="G66:H66"/>
    <mergeCell ref="I66:J66"/>
    <mergeCell ref="B62:D62"/>
    <mergeCell ref="E62:F62"/>
    <mergeCell ref="G62:H62"/>
    <mergeCell ref="I62:J62"/>
    <mergeCell ref="B63:D73"/>
    <mergeCell ref="E63:F63"/>
    <mergeCell ref="G63:H63"/>
    <mergeCell ref="I63:J63"/>
    <mergeCell ref="E64:F64"/>
    <mergeCell ref="G64:H64"/>
    <mergeCell ref="E69:F69"/>
    <mergeCell ref="G69:H69"/>
    <mergeCell ref="I69:J69"/>
    <mergeCell ref="E70:F70"/>
    <mergeCell ref="G70:H70"/>
    <mergeCell ref="I70:J70"/>
    <mergeCell ref="E67:F67"/>
    <mergeCell ref="E60:F60"/>
    <mergeCell ref="G60:H60"/>
    <mergeCell ref="I60:J60"/>
    <mergeCell ref="E61:F61"/>
    <mergeCell ref="G61:H61"/>
    <mergeCell ref="I61:J61"/>
    <mergeCell ref="B57:D61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B56:D56"/>
    <mergeCell ref="E56:F56"/>
    <mergeCell ref="G56:H56"/>
    <mergeCell ref="I56:J56"/>
    <mergeCell ref="E53:F53"/>
    <mergeCell ref="G53:H53"/>
    <mergeCell ref="I53:J53"/>
    <mergeCell ref="E54:F54"/>
    <mergeCell ref="G54:H54"/>
    <mergeCell ref="I54:J54"/>
    <mergeCell ref="E50:F50"/>
    <mergeCell ref="G50:H50"/>
    <mergeCell ref="I50:J50"/>
    <mergeCell ref="B51:D55"/>
    <mergeCell ref="E51:F51"/>
    <mergeCell ref="G51:H51"/>
    <mergeCell ref="I51:J51"/>
    <mergeCell ref="E52:F52"/>
    <mergeCell ref="G52:H52"/>
    <mergeCell ref="I52:J52"/>
    <mergeCell ref="B43:D50"/>
    <mergeCell ref="E43:F43"/>
    <mergeCell ref="G43:H43"/>
    <mergeCell ref="I43:J43"/>
    <mergeCell ref="E44:F44"/>
    <mergeCell ref="G44:H44"/>
    <mergeCell ref="I44:J44"/>
    <mergeCell ref="E45:F45"/>
    <mergeCell ref="G45:H45"/>
    <mergeCell ref="I45:J45"/>
    <mergeCell ref="E55:F55"/>
    <mergeCell ref="G55:H55"/>
    <mergeCell ref="I55:J55"/>
    <mergeCell ref="E48:F48"/>
    <mergeCell ref="G48:H48"/>
    <mergeCell ref="I48:J48"/>
    <mergeCell ref="E49:F49"/>
    <mergeCell ref="G49:H49"/>
    <mergeCell ref="I49:J49"/>
    <mergeCell ref="E46:F46"/>
    <mergeCell ref="G46:H46"/>
    <mergeCell ref="I46:J46"/>
    <mergeCell ref="E47:F47"/>
    <mergeCell ref="G47:H47"/>
    <mergeCell ref="I47:J47"/>
    <mergeCell ref="B40:D42"/>
    <mergeCell ref="E40:F40"/>
    <mergeCell ref="G40:H40"/>
    <mergeCell ref="I40:J40"/>
    <mergeCell ref="E41:F41"/>
    <mergeCell ref="G41:H41"/>
    <mergeCell ref="I41:J41"/>
    <mergeCell ref="E42:F42"/>
    <mergeCell ref="G42:H42"/>
    <mergeCell ref="I42:J42"/>
    <mergeCell ref="B38:D39"/>
    <mergeCell ref="E38:F38"/>
    <mergeCell ref="G38:H38"/>
    <mergeCell ref="I38:J38"/>
    <mergeCell ref="E39:F39"/>
    <mergeCell ref="G39:H39"/>
    <mergeCell ref="I39:J39"/>
    <mergeCell ref="B36:D37"/>
    <mergeCell ref="E36:F36"/>
    <mergeCell ref="G36:H36"/>
    <mergeCell ref="I36:J36"/>
    <mergeCell ref="E37:F37"/>
    <mergeCell ref="G37:H37"/>
    <mergeCell ref="I37:J37"/>
    <mergeCell ref="B34:D35"/>
    <mergeCell ref="E34:F34"/>
    <mergeCell ref="G34:H34"/>
    <mergeCell ref="I34:J34"/>
    <mergeCell ref="E35:F35"/>
    <mergeCell ref="G35:H35"/>
    <mergeCell ref="I35:J35"/>
    <mergeCell ref="B32:D33"/>
    <mergeCell ref="E32:F32"/>
    <mergeCell ref="G32:H32"/>
    <mergeCell ref="I32:J32"/>
    <mergeCell ref="E33:F33"/>
    <mergeCell ref="G33:H33"/>
    <mergeCell ref="I33:J33"/>
    <mergeCell ref="B30:D31"/>
    <mergeCell ref="E30:F30"/>
    <mergeCell ref="G30:H30"/>
    <mergeCell ref="I30:J30"/>
    <mergeCell ref="E31:F31"/>
    <mergeCell ref="G31:H31"/>
    <mergeCell ref="I31:J31"/>
    <mergeCell ref="B27:D29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I24:J24"/>
    <mergeCell ref="E25:F25"/>
    <mergeCell ref="G25:H25"/>
    <mergeCell ref="I25:J25"/>
    <mergeCell ref="E26:F26"/>
    <mergeCell ref="G26:H26"/>
    <mergeCell ref="I26:J26"/>
    <mergeCell ref="I21:J21"/>
    <mergeCell ref="B22:D26"/>
    <mergeCell ref="E22:F22"/>
    <mergeCell ref="G22:H22"/>
    <mergeCell ref="I22:J22"/>
    <mergeCell ref="E23:F23"/>
    <mergeCell ref="G23:H23"/>
    <mergeCell ref="I23:J23"/>
    <mergeCell ref="E24:F24"/>
    <mergeCell ref="G24:H24"/>
    <mergeCell ref="B17:D18"/>
    <mergeCell ref="E17:F17"/>
    <mergeCell ref="G17:H17"/>
    <mergeCell ref="I17:J17"/>
    <mergeCell ref="E18:F18"/>
    <mergeCell ref="G18:H18"/>
    <mergeCell ref="I18:J18"/>
    <mergeCell ref="B19:D21"/>
    <mergeCell ref="E19:F19"/>
    <mergeCell ref="G19:H19"/>
    <mergeCell ref="I19:J19"/>
    <mergeCell ref="E20:F20"/>
    <mergeCell ref="G20:H20"/>
    <mergeCell ref="I20:J20"/>
    <mergeCell ref="E21:F21"/>
    <mergeCell ref="G21:H21"/>
    <mergeCell ref="E3:J5"/>
    <mergeCell ref="B15:D15"/>
    <mergeCell ref="E15:F15"/>
    <mergeCell ref="G15:H15"/>
    <mergeCell ref="I15:J15"/>
    <mergeCell ref="G9:H10"/>
    <mergeCell ref="B16:D16"/>
    <mergeCell ref="E16:F16"/>
    <mergeCell ref="G16:H16"/>
    <mergeCell ref="I16:J16"/>
    <mergeCell ref="B10:D10"/>
    <mergeCell ref="E11:F11"/>
    <mergeCell ref="G11:H11"/>
    <mergeCell ref="I11:J11"/>
    <mergeCell ref="E12:E14"/>
    <mergeCell ref="J12:J14"/>
  </mergeCells>
  <pageMargins left="0.7" right="0.7" top="0.75" bottom="0.75" header="0.3" footer="0.3"/>
  <pageSetup paperSize="9" scale="69" orientation="portrait" r:id="rId1"/>
  <rowBreaks count="2" manualBreakCount="2">
    <brk id="33" max="10" man="1"/>
    <brk id="62" max="10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5ECF-7B39-4628-8A49-1D85E80DF3A9}">
  <dimension ref="B2:K76"/>
  <sheetViews>
    <sheetView tabSelected="1" showWhiteSpace="0" view="pageBreakPreview" topLeftCell="A31" zoomScale="59" zoomScaleNormal="100" zoomScaleSheetLayoutView="175" zoomScalePageLayoutView="117" workbookViewId="0">
      <selection activeCell="E32" sqref="E32:F32"/>
    </sheetView>
  </sheetViews>
  <sheetFormatPr baseColWidth="10" defaultColWidth="11.6640625" defaultRowHeight="14.4" x14ac:dyDescent="0.3"/>
  <cols>
    <col min="1" max="1" width="3.77734375" style="19" customWidth="1"/>
    <col min="2" max="2" width="11.6640625" style="19" customWidth="1"/>
    <col min="3" max="3" width="11.6640625" style="19"/>
    <col min="4" max="4" width="11.33203125" style="19" customWidth="1"/>
    <col min="5" max="5" width="11.6640625" style="19" customWidth="1"/>
    <col min="6" max="6" width="11.6640625" style="19"/>
    <col min="7" max="7" width="11.33203125" style="19" customWidth="1"/>
    <col min="8" max="9" width="11.6640625" style="19"/>
    <col min="10" max="10" width="11.6640625" style="19" customWidth="1"/>
    <col min="11" max="11" width="3.77734375" style="19" customWidth="1"/>
    <col min="12" max="16384" width="11.6640625" style="19"/>
  </cols>
  <sheetData>
    <row r="2" spans="2:1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2:11" ht="18" customHeight="1" x14ac:dyDescent="0.3">
      <c r="B3" s="22"/>
      <c r="C3" s="22"/>
      <c r="D3" s="22"/>
      <c r="E3" s="235" t="s">
        <v>823</v>
      </c>
      <c r="F3" s="235"/>
      <c r="G3" s="235"/>
      <c r="H3" s="235"/>
      <c r="I3" s="235"/>
      <c r="J3" s="235"/>
      <c r="K3" s="23"/>
    </row>
    <row r="4" spans="2:11" ht="18" customHeight="1" x14ac:dyDescent="0.3">
      <c r="B4" s="20"/>
      <c r="C4" s="20"/>
      <c r="D4" s="20"/>
      <c r="E4" s="235"/>
      <c r="F4" s="235"/>
      <c r="G4" s="235"/>
      <c r="H4" s="235"/>
      <c r="I4" s="235"/>
      <c r="J4" s="235"/>
    </row>
    <row r="5" spans="2:11" x14ac:dyDescent="0.3">
      <c r="B5" s="20"/>
      <c r="C5" s="20"/>
      <c r="D5" s="20"/>
      <c r="E5" s="235"/>
      <c r="F5" s="235"/>
      <c r="G5" s="235"/>
      <c r="H5" s="235"/>
      <c r="I5" s="235"/>
      <c r="J5" s="235"/>
    </row>
    <row r="6" spans="2:11" ht="18" x14ac:dyDescent="0.4">
      <c r="B6" s="21"/>
      <c r="C6" s="21"/>
      <c r="D6" s="28"/>
      <c r="E6" s="21"/>
      <c r="F6" s="21"/>
      <c r="G6" s="21"/>
      <c r="H6" s="20"/>
      <c r="I6" s="20"/>
      <c r="J6" s="21"/>
      <c r="K6" s="24"/>
    </row>
    <row r="7" spans="2:11" ht="14.7" customHeight="1" x14ac:dyDescent="0.4">
      <c r="B7" s="29"/>
      <c r="C7" s="29"/>
      <c r="D7" s="29"/>
      <c r="E7" s="31"/>
      <c r="F7" s="31"/>
      <c r="G7" s="31"/>
      <c r="H7" s="30"/>
      <c r="I7" s="30"/>
      <c r="J7" s="30"/>
      <c r="K7" s="24"/>
    </row>
    <row r="8" spans="2:11" x14ac:dyDescent="0.3">
      <c r="D8" s="34"/>
      <c r="E8" s="34"/>
      <c r="F8" s="34"/>
    </row>
    <row r="9" spans="2:11" ht="14.4" customHeight="1" x14ac:dyDescent="0.3">
      <c r="D9" s="34"/>
      <c r="G9" s="239" t="s">
        <v>822</v>
      </c>
      <c r="H9" s="239"/>
    </row>
    <row r="10" spans="2:11" ht="14.4" customHeight="1" x14ac:dyDescent="0.3">
      <c r="B10" s="236"/>
      <c r="C10" s="236"/>
      <c r="D10" s="236"/>
      <c r="G10" s="239"/>
      <c r="H10" s="239"/>
    </row>
    <row r="11" spans="2:11" x14ac:dyDescent="0.3">
      <c r="E11" s="240"/>
      <c r="F11" s="240"/>
      <c r="G11" s="236"/>
      <c r="H11" s="236"/>
      <c r="I11" s="236"/>
      <c r="J11" s="236"/>
    </row>
    <row r="12" spans="2:11" x14ac:dyDescent="0.3">
      <c r="B12" s="147"/>
      <c r="C12" s="147"/>
      <c r="D12" s="147"/>
      <c r="E12" s="241">
        <f ca="1">Backend_3!N4</f>
        <v>0</v>
      </c>
      <c r="F12" s="148"/>
      <c r="G12" s="147"/>
      <c r="H12" s="147"/>
      <c r="I12" s="147"/>
      <c r="J12" s="241">
        <f ca="1">Backend_3!N4</f>
        <v>0</v>
      </c>
    </row>
    <row r="13" spans="2:11" x14ac:dyDescent="0.3">
      <c r="B13" s="147"/>
      <c r="C13" s="147"/>
      <c r="D13" s="147"/>
      <c r="E13" s="242"/>
      <c r="F13" s="148"/>
      <c r="G13" s="147"/>
      <c r="H13" s="147"/>
      <c r="I13" s="147"/>
      <c r="J13" s="242"/>
    </row>
    <row r="14" spans="2:11" x14ac:dyDescent="0.3">
      <c r="B14" s="147"/>
      <c r="C14" s="147"/>
      <c r="D14" s="147"/>
      <c r="E14" s="242"/>
      <c r="F14" s="148"/>
      <c r="G14" s="147"/>
      <c r="H14" s="147"/>
      <c r="I14" s="147"/>
      <c r="J14" s="242"/>
    </row>
    <row r="15" spans="2:11" x14ac:dyDescent="0.3">
      <c r="B15" s="236"/>
      <c r="C15" s="236"/>
      <c r="D15" s="236"/>
      <c r="E15" s="240"/>
      <c r="F15" s="240"/>
      <c r="G15" s="236"/>
      <c r="H15" s="236"/>
      <c r="I15" s="236"/>
      <c r="J15" s="236"/>
    </row>
    <row r="16" spans="2:11" s="149" customFormat="1" ht="35.4" customHeight="1" x14ac:dyDescent="0.3">
      <c r="B16" s="237" t="str">
        <f>Backend_3!A1</f>
        <v>Bloc de critères</v>
      </c>
      <c r="C16" s="238"/>
      <c r="D16" s="238"/>
      <c r="E16" s="237" t="str">
        <f>Backend_3!B1</f>
        <v>Rubrique</v>
      </c>
      <c r="F16" s="238"/>
      <c r="G16" s="237" t="str">
        <f>Backend_3!C1</f>
        <v>Taux de conformité des critères majeurs</v>
      </c>
      <c r="H16" s="238"/>
      <c r="I16" s="237" t="str">
        <f>Backend_3!D1</f>
        <v>Taux de conformité des critères mineurs</v>
      </c>
      <c r="J16" s="238"/>
    </row>
    <row r="17" spans="2:10" s="149" customFormat="1" ht="16.2" x14ac:dyDescent="0.3">
      <c r="B17" s="245" t="str">
        <f>Backend_3!A2</f>
        <v>Information et réservation</v>
      </c>
      <c r="C17" s="245"/>
      <c r="D17" s="245"/>
      <c r="E17" s="231" t="str">
        <f>Backend_3!B2</f>
        <v>Information</v>
      </c>
      <c r="F17" s="232"/>
      <c r="G17" s="233">
        <f ca="1">Backend_3!C2</f>
        <v>0</v>
      </c>
      <c r="H17" s="234"/>
      <c r="I17" s="233">
        <f ca="1">Backend_3!D2</f>
        <v>0</v>
      </c>
      <c r="J17" s="234"/>
    </row>
    <row r="18" spans="2:10" s="149" customFormat="1" ht="16.2" x14ac:dyDescent="0.3">
      <c r="B18" s="231"/>
      <c r="C18" s="231"/>
      <c r="D18" s="231"/>
      <c r="E18" s="231" t="str">
        <f>Backend_3!B3</f>
        <v>Réservation</v>
      </c>
      <c r="F18" s="232"/>
      <c r="G18" s="233">
        <f ca="1">Backend_3!C3</f>
        <v>0</v>
      </c>
      <c r="H18" s="234"/>
      <c r="I18" s="233">
        <f ca="1">Backend_3!D3</f>
        <v>0</v>
      </c>
      <c r="J18" s="234"/>
    </row>
    <row r="19" spans="2:10" s="149" customFormat="1" ht="16.2" x14ac:dyDescent="0.3">
      <c r="B19" s="245" t="str">
        <f>Backend_3!A4</f>
        <v>Extérieur</v>
      </c>
      <c r="C19" s="245"/>
      <c r="D19" s="245"/>
      <c r="E19" s="231" t="str">
        <f>Backend_3!B4</f>
        <v>Parking et dépose</v>
      </c>
      <c r="F19" s="232"/>
      <c r="G19" s="233" t="str">
        <f ca="1">Backend_3!C4</f>
        <v>Non appliqué</v>
      </c>
      <c r="H19" s="234"/>
      <c r="I19" s="233">
        <f ca="1">Backend_3!D4</f>
        <v>0</v>
      </c>
      <c r="J19" s="234"/>
    </row>
    <row r="20" spans="2:10" s="149" customFormat="1" ht="16.2" x14ac:dyDescent="0.3">
      <c r="B20" s="231"/>
      <c r="C20" s="231"/>
      <c r="D20" s="231"/>
      <c r="E20" s="231" t="str">
        <f>Backend_3!B6</f>
        <v>Façades</v>
      </c>
      <c r="F20" s="232"/>
      <c r="G20" s="233">
        <f ca="1">Backend_3!C6</f>
        <v>0</v>
      </c>
      <c r="H20" s="234"/>
      <c r="I20" s="233" t="str">
        <f ca="1">Backend_3!D6</f>
        <v>Non appliqué</v>
      </c>
      <c r="J20" s="234"/>
    </row>
    <row r="21" spans="2:10" s="149" customFormat="1" ht="16.2" x14ac:dyDescent="0.3">
      <c r="B21" s="245" t="str">
        <f>Backend_3!A7</f>
        <v>Accueil et réception</v>
      </c>
      <c r="C21" s="245"/>
      <c r="D21" s="245"/>
      <c r="E21" s="231" t="str">
        <f>Backend_3!B7</f>
        <v>Entrée</v>
      </c>
      <c r="F21" s="232"/>
      <c r="G21" s="233">
        <f ca="1">Backend_3!C7</f>
        <v>0</v>
      </c>
      <c r="H21" s="234"/>
      <c r="I21" s="233">
        <f ca="1">Backend_3!D7</f>
        <v>0</v>
      </c>
      <c r="J21" s="234"/>
    </row>
    <row r="22" spans="2:10" s="149" customFormat="1" ht="16.2" x14ac:dyDescent="0.3">
      <c r="B22" s="246"/>
      <c r="C22" s="246"/>
      <c r="D22" s="246"/>
      <c r="E22" s="231" t="str">
        <f>Backend_3!B8</f>
        <v>Hall d'accueil et salons</v>
      </c>
      <c r="F22" s="232"/>
      <c r="G22" s="233">
        <f ca="1">Backend_3!C8</f>
        <v>0</v>
      </c>
      <c r="H22" s="234"/>
      <c r="I22" s="233">
        <f ca="1">Backend_3!D8</f>
        <v>0</v>
      </c>
      <c r="J22" s="234"/>
    </row>
    <row r="23" spans="2:10" s="149" customFormat="1" ht="16.2" x14ac:dyDescent="0.3">
      <c r="B23" s="246"/>
      <c r="C23" s="246"/>
      <c r="D23" s="246"/>
      <c r="E23" s="231" t="str">
        <f>Backend_3!B9</f>
        <v>Réception</v>
      </c>
      <c r="F23" s="232"/>
      <c r="G23" s="233">
        <f ca="1">Backend_3!C9</f>
        <v>0</v>
      </c>
      <c r="H23" s="234"/>
      <c r="I23" s="233">
        <f ca="1">Backend_3!D9</f>
        <v>0</v>
      </c>
      <c r="J23" s="234"/>
    </row>
    <row r="24" spans="2:10" s="149" customFormat="1" ht="16.2" x14ac:dyDescent="0.3">
      <c r="B24" s="231"/>
      <c r="C24" s="231"/>
      <c r="D24" s="231"/>
      <c r="E24" s="231" t="str">
        <f>Backend_3!B11</f>
        <v>Bagagerie</v>
      </c>
      <c r="F24" s="232"/>
      <c r="G24" s="233">
        <f ca="1">Backend_3!C11</f>
        <v>0</v>
      </c>
      <c r="H24" s="234"/>
      <c r="I24" s="233" t="str">
        <f ca="1">Backend_3!D11</f>
        <v>Non appliqué</v>
      </c>
      <c r="J24" s="234"/>
    </row>
    <row r="25" spans="2:10" s="149" customFormat="1" ht="16.2" x14ac:dyDescent="0.3">
      <c r="B25" s="245" t="str">
        <f>Backend_3!A12</f>
        <v>Sanitaires publiques</v>
      </c>
      <c r="C25" s="245"/>
      <c r="D25" s="245"/>
      <c r="E25" s="231" t="str">
        <f>Backend_3!B12</f>
        <v>Aspect général</v>
      </c>
      <c r="F25" s="232"/>
      <c r="G25" s="233">
        <f ca="1">Backend_3!C12</f>
        <v>0</v>
      </c>
      <c r="H25" s="234"/>
      <c r="I25" s="233">
        <f ca="1">Backend_3!D12</f>
        <v>0</v>
      </c>
      <c r="J25" s="234"/>
    </row>
    <row r="26" spans="2:10" s="149" customFormat="1" ht="16.2" x14ac:dyDescent="0.3">
      <c r="B26" s="246"/>
      <c r="C26" s="246"/>
      <c r="D26" s="246"/>
      <c r="E26" s="231" t="str">
        <f>Backend_3!B13</f>
        <v>Cabines de toilette</v>
      </c>
      <c r="F26" s="232"/>
      <c r="G26" s="233">
        <f ca="1">Backend_3!C13</f>
        <v>0</v>
      </c>
      <c r="H26" s="234"/>
      <c r="I26" s="233">
        <f ca="1">Backend_3!D13</f>
        <v>0</v>
      </c>
      <c r="J26" s="234"/>
    </row>
    <row r="27" spans="2:10" s="149" customFormat="1" ht="16.2" x14ac:dyDescent="0.3">
      <c r="B27" s="231"/>
      <c r="C27" s="231"/>
      <c r="D27" s="231"/>
      <c r="E27" s="231" t="str">
        <f>Backend_3!B14</f>
        <v>Lavabo</v>
      </c>
      <c r="F27" s="232"/>
      <c r="G27" s="233">
        <f ca="1">Backend_3!C14</f>
        <v>0</v>
      </c>
      <c r="H27" s="234"/>
      <c r="I27" s="233">
        <f ca="1">Backend_3!D14</f>
        <v>0</v>
      </c>
      <c r="J27" s="234"/>
    </row>
    <row r="28" spans="2:10" s="149" customFormat="1" ht="16.2" x14ac:dyDescent="0.3">
      <c r="B28" s="245" t="str">
        <f>Backend_3!A15</f>
        <v>Circulation</v>
      </c>
      <c r="C28" s="245"/>
      <c r="D28" s="245"/>
      <c r="E28" s="231" t="str">
        <f>Backend_3!B15</f>
        <v>Couloirs et allées</v>
      </c>
      <c r="F28" s="232"/>
      <c r="G28" s="233">
        <f ca="1">Backend_3!C15</f>
        <v>0</v>
      </c>
      <c r="H28" s="234"/>
      <c r="I28" s="233">
        <f ca="1">Backend_3!D15</f>
        <v>0</v>
      </c>
      <c r="J28" s="234"/>
    </row>
    <row r="29" spans="2:10" s="149" customFormat="1" ht="16.2" x14ac:dyDescent="0.3">
      <c r="B29" s="231"/>
      <c r="C29" s="231"/>
      <c r="D29" s="231"/>
      <c r="E29" s="231" t="str">
        <f>Backend_3!B16</f>
        <v>Ascenseurs</v>
      </c>
      <c r="F29" s="232"/>
      <c r="G29" s="233">
        <f ca="1">Backend_3!C16</f>
        <v>0</v>
      </c>
      <c r="H29" s="234"/>
      <c r="I29" s="233">
        <f ca="1">Backend_3!D16</f>
        <v>0</v>
      </c>
      <c r="J29" s="234"/>
    </row>
    <row r="30" spans="2:10" s="149" customFormat="1" ht="16.2" x14ac:dyDescent="0.3">
      <c r="B30" s="245" t="str">
        <f>Backend_3!A17</f>
        <v>Petit déjeuner</v>
      </c>
      <c r="C30" s="245"/>
      <c r="D30" s="245"/>
      <c r="E30" s="231" t="str">
        <f>Backend_3!B17</f>
        <v>Généralités</v>
      </c>
      <c r="F30" s="232"/>
      <c r="G30" s="233">
        <f ca="1">Backend_3!C17</f>
        <v>0</v>
      </c>
      <c r="H30" s="234"/>
      <c r="I30" s="233">
        <f ca="1">Backend_3!D17</f>
        <v>0</v>
      </c>
      <c r="J30" s="234"/>
    </row>
    <row r="31" spans="2:10" s="149" customFormat="1" ht="16.2" x14ac:dyDescent="0.3">
      <c r="B31" s="231"/>
      <c r="C31" s="231"/>
      <c r="D31" s="231"/>
      <c r="E31" s="231" t="str">
        <f>Backend_3!B18</f>
        <v>Equipement et mobilier</v>
      </c>
      <c r="F31" s="232"/>
      <c r="G31" s="233">
        <f ca="1">Backend_3!C18</f>
        <v>0</v>
      </c>
      <c r="H31" s="234"/>
      <c r="I31" s="233" t="str">
        <f ca="1">Backend_3!D18</f>
        <v>Non appliqué</v>
      </c>
      <c r="J31" s="234"/>
    </row>
    <row r="32" spans="2:10" s="149" customFormat="1" ht="16.2" x14ac:dyDescent="0.3">
      <c r="B32" s="245" t="str">
        <f>Backend_3!A19</f>
        <v>Restaurant principal</v>
      </c>
      <c r="C32" s="245"/>
      <c r="D32" s="245"/>
      <c r="E32" s="231" t="str">
        <f>Backend_3!B19</f>
        <v>Généralités</v>
      </c>
      <c r="F32" s="232"/>
      <c r="G32" s="233">
        <f ca="1">Backend_3!C19</f>
        <v>0</v>
      </c>
      <c r="H32" s="234"/>
      <c r="I32" s="233">
        <f ca="1">Backend_3!D19</f>
        <v>0</v>
      </c>
      <c r="J32" s="234"/>
    </row>
    <row r="33" spans="2:10" s="149" customFormat="1" ht="16.2" x14ac:dyDescent="0.3">
      <c r="B33" s="231"/>
      <c r="C33" s="231"/>
      <c r="D33" s="231"/>
      <c r="E33" s="231" t="str">
        <f>Backend_3!B20</f>
        <v>Equipement et mobilier</v>
      </c>
      <c r="F33" s="232"/>
      <c r="G33" s="233">
        <f ca="1">Backend_3!C20</f>
        <v>0</v>
      </c>
      <c r="H33" s="234"/>
      <c r="I33" s="233">
        <f ca="1">Backend_3!D20</f>
        <v>0</v>
      </c>
      <c r="J33" s="234"/>
    </row>
    <row r="34" spans="2:10" s="149" customFormat="1" ht="16.2" x14ac:dyDescent="0.3">
      <c r="B34" s="245" t="str">
        <f>Backend_3!A21</f>
        <v>Restaurant thématique</v>
      </c>
      <c r="C34" s="245"/>
      <c r="D34" s="245"/>
      <c r="E34" s="231" t="str">
        <f>Backend_3!B21</f>
        <v>Généralités</v>
      </c>
      <c r="F34" s="232"/>
      <c r="G34" s="233" t="str">
        <f ca="1">Backend_3!C21</f>
        <v>Non appliqué</v>
      </c>
      <c r="H34" s="234"/>
      <c r="I34" s="233" t="str">
        <f ca="1">Backend_3!D21</f>
        <v>Non appliqué</v>
      </c>
      <c r="J34" s="234"/>
    </row>
    <row r="35" spans="2:10" s="149" customFormat="1" ht="16.2" x14ac:dyDescent="0.3">
      <c r="B35" s="231"/>
      <c r="C35" s="231"/>
      <c r="D35" s="231"/>
      <c r="E35" s="231" t="str">
        <f>Backend_3!B22</f>
        <v>Equipement et mobilier</v>
      </c>
      <c r="F35" s="232"/>
      <c r="G35" s="233" t="str">
        <f ca="1">Backend_3!C22</f>
        <v>Non appliqué</v>
      </c>
      <c r="H35" s="234"/>
      <c r="I35" s="233" t="str">
        <f ca="1">Backend_3!D22</f>
        <v>Non appliqué</v>
      </c>
      <c r="J35" s="234"/>
    </row>
    <row r="36" spans="2:10" s="149" customFormat="1" ht="16.2" x14ac:dyDescent="0.3">
      <c r="B36" s="245" t="str">
        <f>Backend_3!A23</f>
        <v>Bar</v>
      </c>
      <c r="C36" s="245"/>
      <c r="D36" s="245"/>
      <c r="E36" s="231" t="str">
        <f>Backend_3!B23</f>
        <v>Généralités</v>
      </c>
      <c r="F36" s="232"/>
      <c r="G36" s="233">
        <f ca="1">Backend_3!C23</f>
        <v>0</v>
      </c>
      <c r="H36" s="234"/>
      <c r="I36" s="233">
        <f ca="1">Backend_3!D23</f>
        <v>0</v>
      </c>
      <c r="J36" s="234"/>
    </row>
    <row r="37" spans="2:10" s="149" customFormat="1" ht="16.2" x14ac:dyDescent="0.3">
      <c r="B37" s="231"/>
      <c r="C37" s="231"/>
      <c r="D37" s="231"/>
      <c r="E37" s="231" t="str">
        <f>Backend_3!B24</f>
        <v>Equipement et mobilier</v>
      </c>
      <c r="F37" s="232"/>
      <c r="G37" s="233">
        <f ca="1">Backend_3!C24</f>
        <v>0</v>
      </c>
      <c r="H37" s="234"/>
      <c r="I37" s="233">
        <f ca="1">Backend_3!D24</f>
        <v>0</v>
      </c>
      <c r="J37" s="234"/>
    </row>
    <row r="38" spans="2:10" s="149" customFormat="1" ht="16.2" x14ac:dyDescent="0.3">
      <c r="B38" s="245" t="str">
        <f>Backend_3!A25</f>
        <v>Salle(s) de séminaires, de réunions et de cérémonies</v>
      </c>
      <c r="C38" s="245"/>
      <c r="D38" s="245"/>
      <c r="E38" s="231" t="str">
        <f>Backend_3!B25</f>
        <v>Salle polyvalente</v>
      </c>
      <c r="F38" s="232"/>
      <c r="G38" s="233" t="str">
        <f ca="1">Backend_3!C25</f>
        <v>Non appliqué</v>
      </c>
      <c r="H38" s="234"/>
      <c r="I38" s="233">
        <f ca="1">Backend_3!D25</f>
        <v>0</v>
      </c>
      <c r="J38" s="234"/>
    </row>
    <row r="39" spans="2:10" s="149" customFormat="1" ht="16.2" x14ac:dyDescent="0.3">
      <c r="B39" s="246"/>
      <c r="C39" s="246"/>
      <c r="D39" s="246"/>
      <c r="E39" s="231" t="str">
        <f>Backend_3!B26</f>
        <v>Salles de réunion</v>
      </c>
      <c r="F39" s="232"/>
      <c r="G39" s="233" t="str">
        <f ca="1">Backend_3!C26</f>
        <v>Non appliqué</v>
      </c>
      <c r="H39" s="234"/>
      <c r="I39" s="233">
        <f ca="1">Backend_3!D26</f>
        <v>0</v>
      </c>
      <c r="J39" s="234"/>
    </row>
    <row r="40" spans="2:10" s="149" customFormat="1" ht="16.2" x14ac:dyDescent="0.3">
      <c r="B40" s="231"/>
      <c r="C40" s="231"/>
      <c r="D40" s="231"/>
      <c r="E40" s="231" t="str">
        <f>Backend_3!B27</f>
        <v>Equipements</v>
      </c>
      <c r="F40" s="232"/>
      <c r="G40" s="233" t="str">
        <f ca="1">Backend_3!C27</f>
        <v>Non appliqué</v>
      </c>
      <c r="H40" s="234"/>
      <c r="I40" s="233">
        <f ca="1">Backend_3!D27</f>
        <v>0</v>
      </c>
      <c r="J40" s="234"/>
    </row>
    <row r="41" spans="2:10" s="149" customFormat="1" ht="16.2" x14ac:dyDescent="0.3">
      <c r="B41" s="246" t="str">
        <f>Backend_3!A28</f>
        <v>Bien-être et fitness</v>
      </c>
      <c r="C41" s="246"/>
      <c r="D41" s="246"/>
      <c r="E41" s="231" t="str">
        <f>Backend_3!B34</f>
        <v>Salle de fitness</v>
      </c>
      <c r="F41" s="232"/>
      <c r="G41" s="233" t="str">
        <f ca="1">Backend_3!C34</f>
        <v>Non appliqué</v>
      </c>
      <c r="H41" s="234"/>
      <c r="I41" s="233">
        <f ca="1">Backend_3!D34</f>
        <v>0</v>
      </c>
      <c r="J41" s="234"/>
    </row>
    <row r="42" spans="2:10" s="149" customFormat="1" ht="16.2" x14ac:dyDescent="0.3">
      <c r="B42" s="231"/>
      <c r="C42" s="231"/>
      <c r="D42" s="231"/>
      <c r="E42" s="231" t="str">
        <f>Backend_3!B35</f>
        <v>Vestiaires et douche</v>
      </c>
      <c r="F42" s="232"/>
      <c r="G42" s="233" t="str">
        <f ca="1">Backend_3!C35</f>
        <v>Non appliqué</v>
      </c>
      <c r="H42" s="234"/>
      <c r="I42" s="233">
        <f ca="1">Backend_3!D35</f>
        <v>0</v>
      </c>
      <c r="J42" s="234"/>
    </row>
    <row r="43" spans="2:10" s="149" customFormat="1" ht="16.2" x14ac:dyDescent="0.3">
      <c r="B43" s="245" t="str">
        <f>Backend_3!A36</f>
        <v>Piscine extérieure</v>
      </c>
      <c r="C43" s="245"/>
      <c r="D43" s="245"/>
      <c r="E43" s="231" t="str">
        <f>Backend_3!B36</f>
        <v>Généralités</v>
      </c>
      <c r="F43" s="232"/>
      <c r="G43" s="233" t="str">
        <f ca="1">Backend_3!C36</f>
        <v>Non appliqué</v>
      </c>
      <c r="H43" s="234"/>
      <c r="I43" s="233">
        <f ca="1">Backend_3!D36</f>
        <v>0</v>
      </c>
      <c r="J43" s="234"/>
    </row>
    <row r="44" spans="2:10" s="149" customFormat="1" ht="16.2" x14ac:dyDescent="0.3">
      <c r="B44" s="246"/>
      <c r="C44" s="246"/>
      <c r="D44" s="246"/>
      <c r="E44" s="231" t="str">
        <f>Backend_3!B37</f>
        <v>Sécurité de la piscine</v>
      </c>
      <c r="F44" s="232"/>
      <c r="G44" s="233" t="str">
        <f ca="1">Backend_3!C37</f>
        <v>Non appliqué</v>
      </c>
      <c r="H44" s="234"/>
      <c r="I44" s="233">
        <f ca="1">Backend_3!D37</f>
        <v>0</v>
      </c>
      <c r="J44" s="234"/>
    </row>
    <row r="45" spans="2:10" s="149" customFormat="1" ht="32.4" customHeight="1" x14ac:dyDescent="0.3">
      <c r="B45" s="246"/>
      <c r="C45" s="246"/>
      <c r="D45" s="246"/>
      <c r="E45" s="231" t="str">
        <f>Backend_3!B38</f>
        <v>Equipements et mobilier</v>
      </c>
      <c r="F45" s="232"/>
      <c r="G45" s="233" t="str">
        <f ca="1">Backend_3!C38</f>
        <v>Non appliqué</v>
      </c>
      <c r="H45" s="234"/>
      <c r="I45" s="233">
        <f ca="1">Backend_3!D38</f>
        <v>0</v>
      </c>
      <c r="J45" s="234"/>
    </row>
    <row r="46" spans="2:10" s="149" customFormat="1" ht="16.2" x14ac:dyDescent="0.3">
      <c r="B46" s="231"/>
      <c r="C46" s="231"/>
      <c r="D46" s="231"/>
      <c r="E46" s="231" t="str">
        <f>Backend_3!B40</f>
        <v>Vestiaires et sanitaires</v>
      </c>
      <c r="F46" s="232"/>
      <c r="G46" s="233" t="str">
        <f ca="1">Backend_3!C40</f>
        <v>Non appliqué</v>
      </c>
      <c r="H46" s="234"/>
      <c r="I46" s="233">
        <f ca="1">Backend_3!D40</f>
        <v>0</v>
      </c>
      <c r="J46" s="234"/>
    </row>
    <row r="47" spans="2:10" s="149" customFormat="1" ht="16.2" x14ac:dyDescent="0.3">
      <c r="B47" s="245" t="str">
        <f>Backend_3!A48</f>
        <v>Espaces d'habitation</v>
      </c>
      <c r="C47" s="245"/>
      <c r="D47" s="245"/>
      <c r="E47" s="231" t="str">
        <f>Backend_3!B48</f>
        <v>Généralités</v>
      </c>
      <c r="F47" s="232"/>
      <c r="G47" s="233">
        <f ca="1">Backend_3!C48</f>
        <v>0</v>
      </c>
      <c r="H47" s="234"/>
      <c r="I47" s="233">
        <f ca="1">Backend_3!D48</f>
        <v>0</v>
      </c>
      <c r="J47" s="234"/>
    </row>
    <row r="48" spans="2:10" s="149" customFormat="1" ht="16.2" x14ac:dyDescent="0.3">
      <c r="B48" s="246"/>
      <c r="C48" s="246"/>
      <c r="D48" s="246"/>
      <c r="E48" s="231" t="str">
        <f>Backend_3!B49</f>
        <v>Porte</v>
      </c>
      <c r="F48" s="232"/>
      <c r="G48" s="233">
        <f ca="1">Backend_3!C49</f>
        <v>0</v>
      </c>
      <c r="H48" s="234"/>
      <c r="I48" s="233">
        <f ca="1">Backend_3!D49</f>
        <v>0</v>
      </c>
      <c r="J48" s="234"/>
    </row>
    <row r="49" spans="2:10" s="149" customFormat="1" ht="30.6" customHeight="1" x14ac:dyDescent="0.3">
      <c r="B49" s="246"/>
      <c r="C49" s="246"/>
      <c r="D49" s="246"/>
      <c r="E49" s="231" t="str">
        <f>Backend_3!B50</f>
        <v>Placard/penderie/dressing</v>
      </c>
      <c r="F49" s="232"/>
      <c r="G49" s="233">
        <f ca="1">Backend_3!C50</f>
        <v>0</v>
      </c>
      <c r="H49" s="234"/>
      <c r="I49" s="233">
        <f ca="1">Backend_3!D50</f>
        <v>0</v>
      </c>
      <c r="J49" s="234"/>
    </row>
    <row r="50" spans="2:10" s="149" customFormat="1" ht="16.2" x14ac:dyDescent="0.3">
      <c r="B50" s="246"/>
      <c r="C50" s="246"/>
      <c r="D50" s="246"/>
      <c r="E50" s="231" t="str">
        <f>Backend_3!B51</f>
        <v>Literie</v>
      </c>
      <c r="F50" s="232"/>
      <c r="G50" s="233">
        <f ca="1">Backend_3!C51</f>
        <v>0</v>
      </c>
      <c r="H50" s="234"/>
      <c r="I50" s="233">
        <f ca="1">Backend_3!D51</f>
        <v>0</v>
      </c>
      <c r="J50" s="234"/>
    </row>
    <row r="51" spans="2:10" s="149" customFormat="1" ht="16.2" x14ac:dyDescent="0.3">
      <c r="B51" s="246"/>
      <c r="C51" s="246"/>
      <c r="D51" s="246"/>
      <c r="E51" s="231" t="str">
        <f>Backend_3!B52</f>
        <v>Rideaux</v>
      </c>
      <c r="F51" s="232"/>
      <c r="G51" s="233">
        <f ca="1">Backend_3!C52</f>
        <v>0</v>
      </c>
      <c r="H51" s="234"/>
      <c r="I51" s="233" t="str">
        <f ca="1">Backend_3!D52</f>
        <v>Non appliqué</v>
      </c>
      <c r="J51" s="234"/>
    </row>
    <row r="52" spans="2:10" s="149" customFormat="1" ht="16.2" x14ac:dyDescent="0.3">
      <c r="B52" s="246"/>
      <c r="C52" s="246"/>
      <c r="D52" s="246"/>
      <c r="E52" s="231" t="str">
        <f>Backend_3!B53</f>
        <v>Mobilier</v>
      </c>
      <c r="F52" s="232"/>
      <c r="G52" s="233">
        <f ca="1">Backend_3!C53</f>
        <v>0</v>
      </c>
      <c r="H52" s="234"/>
      <c r="I52" s="233">
        <f ca="1">Backend_3!D53</f>
        <v>0</v>
      </c>
      <c r="J52" s="234"/>
    </row>
    <row r="53" spans="2:10" s="149" customFormat="1" ht="16.2" x14ac:dyDescent="0.3">
      <c r="B53" s="246"/>
      <c r="C53" s="246"/>
      <c r="D53" s="246"/>
      <c r="E53" s="231" t="str">
        <f>Backend_3!B54</f>
        <v>Télévision</v>
      </c>
      <c r="F53" s="232"/>
      <c r="G53" s="233">
        <f ca="1">Backend_3!C54</f>
        <v>0</v>
      </c>
      <c r="H53" s="234"/>
      <c r="I53" s="233">
        <f ca="1">Backend_3!D54</f>
        <v>0</v>
      </c>
      <c r="J53" s="234"/>
    </row>
    <row r="54" spans="2:10" s="149" customFormat="1" ht="16.2" x14ac:dyDescent="0.3">
      <c r="B54" s="246"/>
      <c r="C54" s="246"/>
      <c r="D54" s="246"/>
      <c r="E54" s="231" t="str">
        <f>Backend_3!B55</f>
        <v>Téléphone et Internet</v>
      </c>
      <c r="F54" s="232"/>
      <c r="G54" s="233">
        <f ca="1">Backend_3!C55</f>
        <v>0</v>
      </c>
      <c r="H54" s="234"/>
      <c r="I54" s="233">
        <f ca="1">Backend_3!D55</f>
        <v>0</v>
      </c>
      <c r="J54" s="234"/>
    </row>
    <row r="55" spans="2:10" s="149" customFormat="1" ht="34.200000000000003" customHeight="1" x14ac:dyDescent="0.3">
      <c r="B55" s="246"/>
      <c r="C55" s="246"/>
      <c r="D55" s="246"/>
      <c r="E55" s="231" t="str">
        <f>Backend_3!B56</f>
        <v>Equipements électriques et éclairage</v>
      </c>
      <c r="F55" s="232"/>
      <c r="G55" s="233">
        <f ca="1">Backend_3!C56</f>
        <v>0</v>
      </c>
      <c r="H55" s="234"/>
      <c r="I55" s="233">
        <f ca="1">Backend_3!D56</f>
        <v>0</v>
      </c>
      <c r="J55" s="234"/>
    </row>
    <row r="56" spans="2:10" s="149" customFormat="1" ht="16.2" x14ac:dyDescent="0.3">
      <c r="B56" s="246"/>
      <c r="C56" s="246"/>
      <c r="D56" s="246"/>
      <c r="E56" s="231" t="str">
        <f>Backend_3!B57</f>
        <v>Autres équipements</v>
      </c>
      <c r="F56" s="232"/>
      <c r="G56" s="233">
        <f ca="1">Backend_3!C57</f>
        <v>0</v>
      </c>
      <c r="H56" s="234"/>
      <c r="I56" s="233">
        <f ca="1">Backend_3!D57</f>
        <v>0</v>
      </c>
      <c r="J56" s="234"/>
    </row>
    <row r="57" spans="2:10" s="149" customFormat="1" ht="16.2" x14ac:dyDescent="0.3">
      <c r="B57" s="231"/>
      <c r="C57" s="231"/>
      <c r="D57" s="231"/>
      <c r="E57" s="231" t="str">
        <f>Backend_3!B58</f>
        <v>Services</v>
      </c>
      <c r="F57" s="232"/>
      <c r="G57" s="233">
        <f ca="1">Backend_3!C58</f>
        <v>0</v>
      </c>
      <c r="H57" s="234"/>
      <c r="I57" s="233">
        <f ca="1">Backend_3!D58</f>
        <v>0</v>
      </c>
      <c r="J57" s="234"/>
    </row>
    <row r="58" spans="2:10" s="149" customFormat="1" ht="16.2" x14ac:dyDescent="0.3">
      <c r="B58" s="245" t="str">
        <f>Backend_3!A59</f>
        <v>Salle de bain et toilettes</v>
      </c>
      <c r="C58" s="245"/>
      <c r="D58" s="245"/>
      <c r="E58" s="231" t="str">
        <f>Backend_3!B59</f>
        <v>Généralités</v>
      </c>
      <c r="F58" s="232"/>
      <c r="G58" s="233">
        <f ca="1">Backend_3!C59</f>
        <v>0</v>
      </c>
      <c r="H58" s="234"/>
      <c r="I58" s="233">
        <f ca="1">Backend_3!D59</f>
        <v>0</v>
      </c>
      <c r="J58" s="234"/>
    </row>
    <row r="59" spans="2:10" s="149" customFormat="1" ht="16.2" x14ac:dyDescent="0.3">
      <c r="B59" s="246"/>
      <c r="C59" s="246"/>
      <c r="D59" s="246"/>
      <c r="E59" s="231" t="str">
        <f>Backend_3!B60</f>
        <v>Lavabo</v>
      </c>
      <c r="F59" s="232"/>
      <c r="G59" s="233">
        <f ca="1">Backend_3!C60</f>
        <v>0</v>
      </c>
      <c r="H59" s="234"/>
      <c r="I59" s="233" t="str">
        <f ca="1">Backend_3!D60</f>
        <v>Non appliqué</v>
      </c>
      <c r="J59" s="234"/>
    </row>
    <row r="60" spans="2:10" s="149" customFormat="1" ht="16.2" x14ac:dyDescent="0.3">
      <c r="B60" s="246"/>
      <c r="C60" s="246"/>
      <c r="D60" s="246"/>
      <c r="E60" s="231" t="str">
        <f>Backend_3!B61</f>
        <v>Douche</v>
      </c>
      <c r="F60" s="232"/>
      <c r="G60" s="233">
        <f ca="1">Backend_3!C61</f>
        <v>0</v>
      </c>
      <c r="H60" s="234"/>
      <c r="I60" s="233">
        <f ca="1">Backend_3!D61</f>
        <v>0</v>
      </c>
      <c r="J60" s="234"/>
    </row>
    <row r="61" spans="2:10" s="149" customFormat="1" ht="34.200000000000003" customHeight="1" x14ac:dyDescent="0.3">
      <c r="B61" s="246"/>
      <c r="C61" s="246"/>
      <c r="D61" s="246"/>
      <c r="E61" s="231" t="str">
        <f>Backend_3!B63</f>
        <v>Equipements de la salle de bain</v>
      </c>
      <c r="F61" s="232"/>
      <c r="G61" s="233">
        <f ca="1">Backend_3!C63</f>
        <v>0</v>
      </c>
      <c r="H61" s="234"/>
      <c r="I61" s="233">
        <f ca="1">Backend_3!D63</f>
        <v>0</v>
      </c>
      <c r="J61" s="234"/>
    </row>
    <row r="62" spans="2:10" s="149" customFormat="1" ht="19.2" customHeight="1" x14ac:dyDescent="0.3">
      <c r="B62" s="246"/>
      <c r="C62" s="246"/>
      <c r="D62" s="246"/>
      <c r="E62" s="231" t="str">
        <f>Backend_3!B64</f>
        <v>Linge de la salle de bain</v>
      </c>
      <c r="F62" s="232"/>
      <c r="G62" s="233">
        <f ca="1">Backend_3!C64</f>
        <v>0</v>
      </c>
      <c r="H62" s="234"/>
      <c r="I62" s="233">
        <f ca="1">Backend_3!D64</f>
        <v>0</v>
      </c>
      <c r="J62" s="234"/>
    </row>
    <row r="63" spans="2:10" s="149" customFormat="1" ht="16.2" x14ac:dyDescent="0.3">
      <c r="B63" s="246"/>
      <c r="C63" s="246"/>
      <c r="D63" s="246"/>
      <c r="E63" s="231" t="str">
        <f>Backend_3!B65</f>
        <v>Produits d'accueil</v>
      </c>
      <c r="F63" s="232"/>
      <c r="G63" s="233">
        <f ca="1">Backend_3!C65</f>
        <v>0</v>
      </c>
      <c r="H63" s="234"/>
      <c r="I63" s="233">
        <f ca="1">Backend_3!D65</f>
        <v>0</v>
      </c>
      <c r="J63" s="234"/>
    </row>
    <row r="64" spans="2:10" s="149" customFormat="1" ht="16.2" x14ac:dyDescent="0.3">
      <c r="B64" s="231"/>
      <c r="C64" s="231"/>
      <c r="D64" s="231"/>
      <c r="E64" s="231" t="str">
        <f>Backend_3!B66</f>
        <v>Toilettes</v>
      </c>
      <c r="F64" s="232"/>
      <c r="G64" s="233">
        <f ca="1">Backend_3!C66</f>
        <v>0</v>
      </c>
      <c r="H64" s="234"/>
      <c r="I64" s="233">
        <f ca="1">Backend_3!D66</f>
        <v>0</v>
      </c>
      <c r="J64" s="234"/>
    </row>
    <row r="65" spans="2:10" s="149" customFormat="1" ht="16.2" x14ac:dyDescent="0.3">
      <c r="B65" s="245" t="str">
        <f>Backend_3!A67</f>
        <v>Personnel</v>
      </c>
      <c r="C65" s="245"/>
      <c r="D65" s="245"/>
      <c r="E65" s="231" t="str">
        <f>Backend_3!B67</f>
        <v>Vestiaire du personnel</v>
      </c>
      <c r="F65" s="232"/>
      <c r="G65" s="233">
        <f ca="1">Backend_3!C67</f>
        <v>0</v>
      </c>
      <c r="H65" s="234"/>
      <c r="I65" s="233">
        <f ca="1">Backend_3!D67</f>
        <v>0</v>
      </c>
      <c r="J65" s="234"/>
    </row>
    <row r="66" spans="2:10" s="149" customFormat="1" ht="16.2" x14ac:dyDescent="0.3">
      <c r="B66" s="246"/>
      <c r="C66" s="246"/>
      <c r="D66" s="246"/>
      <c r="E66" s="231" t="str">
        <f>Backend_3!B68</f>
        <v>Réfectoire du personnel</v>
      </c>
      <c r="F66" s="232"/>
      <c r="G66" s="233">
        <f ca="1">Backend_3!C68</f>
        <v>0</v>
      </c>
      <c r="H66" s="234"/>
      <c r="I66" s="233" t="str">
        <f ca="1">Backend_3!D68</f>
        <v>Non appliqué</v>
      </c>
      <c r="J66" s="234"/>
    </row>
    <row r="67" spans="2:10" s="149" customFormat="1" ht="16.2" x14ac:dyDescent="0.3">
      <c r="B67" s="231"/>
      <c r="C67" s="231"/>
      <c r="D67" s="231"/>
      <c r="E67" s="231" t="str">
        <f>Backend_3!B69</f>
        <v>Formation et sensibilisation</v>
      </c>
      <c r="F67" s="232"/>
      <c r="G67" s="233" t="str">
        <f ca="1">Backend_3!C69</f>
        <v>Non appliqué</v>
      </c>
      <c r="H67" s="234"/>
      <c r="I67" s="233">
        <f ca="1">Backend_3!D69</f>
        <v>0</v>
      </c>
      <c r="J67" s="234"/>
    </row>
    <row r="68" spans="2:10" s="149" customFormat="1" ht="16.2" x14ac:dyDescent="0.3">
      <c r="B68" s="245" t="str">
        <f>Backend_3!A70</f>
        <v>Electricité, eau et assainissement</v>
      </c>
      <c r="C68" s="245"/>
      <c r="D68" s="245"/>
      <c r="E68" s="231" t="str">
        <f>Backend_3!B70</f>
        <v>Energie</v>
      </c>
      <c r="F68" s="232"/>
      <c r="G68" s="233">
        <f ca="1">Backend_3!C70</f>
        <v>0</v>
      </c>
      <c r="H68" s="234"/>
      <c r="I68" s="233">
        <f ca="1">Backend_3!D70</f>
        <v>0</v>
      </c>
      <c r="J68" s="234"/>
    </row>
    <row r="69" spans="2:10" s="149" customFormat="1" ht="16.2" x14ac:dyDescent="0.3">
      <c r="B69" s="246"/>
      <c r="C69" s="246"/>
      <c r="D69" s="246"/>
      <c r="E69" s="231" t="str">
        <f>Backend_3!B71</f>
        <v>Eau</v>
      </c>
      <c r="F69" s="232"/>
      <c r="G69" s="233">
        <f ca="1">Backend_3!C71</f>
        <v>0</v>
      </c>
      <c r="H69" s="234"/>
      <c r="I69" s="233">
        <f ca="1">Backend_3!D71</f>
        <v>0</v>
      </c>
      <c r="J69" s="234"/>
    </row>
    <row r="70" spans="2:10" s="149" customFormat="1" ht="16.2" x14ac:dyDescent="0.3">
      <c r="B70" s="231"/>
      <c r="C70" s="231"/>
      <c r="D70" s="231"/>
      <c r="E70" s="231" t="str">
        <f>Backend_3!B72</f>
        <v>Assainissement</v>
      </c>
      <c r="F70" s="232"/>
      <c r="G70" s="233">
        <f ca="1">Backend_3!C72</f>
        <v>0</v>
      </c>
      <c r="H70" s="234"/>
      <c r="I70" s="233">
        <f ca="1">Backend_3!D72</f>
        <v>0</v>
      </c>
      <c r="J70" s="234"/>
    </row>
    <row r="71" spans="2:10" s="33" customFormat="1" ht="16.8" customHeight="1" x14ac:dyDescent="0.3">
      <c r="B71" s="35"/>
      <c r="C71" s="35"/>
      <c r="D71" s="35"/>
      <c r="E71" s="35"/>
      <c r="F71" s="35"/>
      <c r="G71" s="35"/>
      <c r="H71" s="35"/>
      <c r="I71" s="35"/>
      <c r="J71" s="35"/>
    </row>
    <row r="72" spans="2:10" x14ac:dyDescent="0.3">
      <c r="B72" s="29"/>
      <c r="C72" s="29"/>
      <c r="D72" s="29"/>
      <c r="E72" s="31"/>
      <c r="F72" s="31"/>
      <c r="G72" s="31"/>
      <c r="H72" s="30"/>
      <c r="I72" s="30"/>
      <c r="J72" s="30"/>
    </row>
    <row r="73" spans="2:10" x14ac:dyDescent="0.3">
      <c r="B73" s="20"/>
      <c r="C73" s="20"/>
      <c r="D73" s="20"/>
      <c r="E73" s="20"/>
      <c r="F73" s="20"/>
      <c r="G73" s="20"/>
      <c r="H73" s="20"/>
      <c r="I73" s="20"/>
      <c r="J73" s="20"/>
    </row>
    <row r="74" spans="2:10" x14ac:dyDescent="0.3">
      <c r="B74" s="20"/>
      <c r="C74" s="20"/>
      <c r="D74" s="20"/>
      <c r="E74" s="20"/>
      <c r="F74" s="20"/>
      <c r="G74" s="20"/>
      <c r="H74" s="20"/>
      <c r="I74" s="20"/>
      <c r="J74" s="20"/>
    </row>
    <row r="75" spans="2:10" x14ac:dyDescent="0.3">
      <c r="B75" s="20"/>
      <c r="C75" s="20"/>
      <c r="D75" s="20"/>
      <c r="E75" s="20"/>
      <c r="F75" s="20"/>
      <c r="G75" s="20"/>
      <c r="H75" s="20"/>
      <c r="I75" s="20"/>
      <c r="J75" s="20"/>
    </row>
    <row r="76" spans="2:10" x14ac:dyDescent="0.3">
      <c r="B76" s="20"/>
      <c r="C76" s="20"/>
      <c r="D76" s="20"/>
      <c r="E76" s="20"/>
      <c r="F76" s="20"/>
      <c r="G76" s="20"/>
      <c r="H76" s="20"/>
      <c r="I76" s="20"/>
      <c r="J76" s="20"/>
    </row>
  </sheetData>
  <sheetProtection sheet="1" pivotTables="0"/>
  <mergeCells count="194">
    <mergeCell ref="I48:J48"/>
    <mergeCell ref="E49:F49"/>
    <mergeCell ref="G49:H49"/>
    <mergeCell ref="I49:J49"/>
    <mergeCell ref="E50:F50"/>
    <mergeCell ref="B68:D70"/>
    <mergeCell ref="E68:F68"/>
    <mergeCell ref="G68:H68"/>
    <mergeCell ref="I68:J68"/>
    <mergeCell ref="E69:F69"/>
    <mergeCell ref="G69:H69"/>
    <mergeCell ref="I69:J69"/>
    <mergeCell ref="E70:F70"/>
    <mergeCell ref="G70:H70"/>
    <mergeCell ref="I70:J70"/>
    <mergeCell ref="B65:D67"/>
    <mergeCell ref="E65:F65"/>
    <mergeCell ref="G65:H65"/>
    <mergeCell ref="I65:J65"/>
    <mergeCell ref="E66:F66"/>
    <mergeCell ref="G66:H66"/>
    <mergeCell ref="B58:D64"/>
    <mergeCell ref="E58:F58"/>
    <mergeCell ref="G58:H58"/>
    <mergeCell ref="I58:J58"/>
    <mergeCell ref="E59:F59"/>
    <mergeCell ref="G59:H59"/>
    <mergeCell ref="I59:J59"/>
    <mergeCell ref="E52:F52"/>
    <mergeCell ref="G52:H52"/>
    <mergeCell ref="I52:J52"/>
    <mergeCell ref="E67:F67"/>
    <mergeCell ref="G67:H67"/>
    <mergeCell ref="I67:J67"/>
    <mergeCell ref="E63:F63"/>
    <mergeCell ref="I61:J61"/>
    <mergeCell ref="E62:F62"/>
    <mergeCell ref="G62:H62"/>
    <mergeCell ref="G63:H63"/>
    <mergeCell ref="I63:J63"/>
    <mergeCell ref="E64:F64"/>
    <mergeCell ref="G64:H64"/>
    <mergeCell ref="I64:J64"/>
    <mergeCell ref="E61:F61"/>
    <mergeCell ref="G61:H61"/>
    <mergeCell ref="I66:J66"/>
    <mergeCell ref="E55:F55"/>
    <mergeCell ref="G55:H55"/>
    <mergeCell ref="I55:J55"/>
    <mergeCell ref="E56:F56"/>
    <mergeCell ref="G56:H56"/>
    <mergeCell ref="I56:J56"/>
    <mergeCell ref="I62:J62"/>
    <mergeCell ref="E57:F57"/>
    <mergeCell ref="G57:H57"/>
    <mergeCell ref="I57:J57"/>
    <mergeCell ref="E60:F60"/>
    <mergeCell ref="G60:H60"/>
    <mergeCell ref="I60:J60"/>
    <mergeCell ref="G50:H50"/>
    <mergeCell ref="I50:J50"/>
    <mergeCell ref="E48:F48"/>
    <mergeCell ref="G48:H48"/>
    <mergeCell ref="B43:D46"/>
    <mergeCell ref="E43:F43"/>
    <mergeCell ref="G43:H43"/>
    <mergeCell ref="I43:J43"/>
    <mergeCell ref="E44:F44"/>
    <mergeCell ref="G44:H44"/>
    <mergeCell ref="I44:J44"/>
    <mergeCell ref="B47:D57"/>
    <mergeCell ref="E47:F47"/>
    <mergeCell ref="G47:H47"/>
    <mergeCell ref="I47:J47"/>
    <mergeCell ref="E53:F53"/>
    <mergeCell ref="G53:H53"/>
    <mergeCell ref="I53:J53"/>
    <mergeCell ref="E54:F54"/>
    <mergeCell ref="G54:H54"/>
    <mergeCell ref="I54:J54"/>
    <mergeCell ref="E51:F51"/>
    <mergeCell ref="G51:H51"/>
    <mergeCell ref="I51:J51"/>
    <mergeCell ref="E41:F41"/>
    <mergeCell ref="G41:H41"/>
    <mergeCell ref="I41:J41"/>
    <mergeCell ref="B41:D42"/>
    <mergeCell ref="E46:F46"/>
    <mergeCell ref="G46:H46"/>
    <mergeCell ref="I46:J46"/>
    <mergeCell ref="E45:F45"/>
    <mergeCell ref="G45:H45"/>
    <mergeCell ref="I45:J45"/>
    <mergeCell ref="E42:F42"/>
    <mergeCell ref="G42:H42"/>
    <mergeCell ref="I42:J42"/>
    <mergeCell ref="B38:D40"/>
    <mergeCell ref="E38:F38"/>
    <mergeCell ref="G38:H38"/>
    <mergeCell ref="I38:J38"/>
    <mergeCell ref="E39:F39"/>
    <mergeCell ref="G39:H39"/>
    <mergeCell ref="I39:J39"/>
    <mergeCell ref="E40:F40"/>
    <mergeCell ref="G40:H40"/>
    <mergeCell ref="I40:J40"/>
    <mergeCell ref="B36:D37"/>
    <mergeCell ref="E36:F36"/>
    <mergeCell ref="G36:H36"/>
    <mergeCell ref="I36:J36"/>
    <mergeCell ref="E37:F37"/>
    <mergeCell ref="G37:H37"/>
    <mergeCell ref="I37:J37"/>
    <mergeCell ref="B34:D35"/>
    <mergeCell ref="E34:F34"/>
    <mergeCell ref="G34:H34"/>
    <mergeCell ref="I34:J34"/>
    <mergeCell ref="E35:F35"/>
    <mergeCell ref="G35:H35"/>
    <mergeCell ref="I35:J35"/>
    <mergeCell ref="B32:D33"/>
    <mergeCell ref="E32:F32"/>
    <mergeCell ref="G32:H32"/>
    <mergeCell ref="I32:J32"/>
    <mergeCell ref="E33:F33"/>
    <mergeCell ref="G33:H33"/>
    <mergeCell ref="I33:J33"/>
    <mergeCell ref="B30:D31"/>
    <mergeCell ref="E30:F30"/>
    <mergeCell ref="G30:H30"/>
    <mergeCell ref="I30:J30"/>
    <mergeCell ref="E31:F31"/>
    <mergeCell ref="G31:H31"/>
    <mergeCell ref="I31:J31"/>
    <mergeCell ref="B28:D29"/>
    <mergeCell ref="E28:F28"/>
    <mergeCell ref="G28:H28"/>
    <mergeCell ref="I28:J28"/>
    <mergeCell ref="E29:F29"/>
    <mergeCell ref="G29:H29"/>
    <mergeCell ref="I29:J29"/>
    <mergeCell ref="B25:D27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I23:J23"/>
    <mergeCell ref="E24:F24"/>
    <mergeCell ref="G24:H24"/>
    <mergeCell ref="I24:J24"/>
    <mergeCell ref="I20:J20"/>
    <mergeCell ref="B21:D24"/>
    <mergeCell ref="E21:F21"/>
    <mergeCell ref="G21:H21"/>
    <mergeCell ref="I21:J21"/>
    <mergeCell ref="E22:F22"/>
    <mergeCell ref="G22:H22"/>
    <mergeCell ref="I22:J22"/>
    <mergeCell ref="E23:F23"/>
    <mergeCell ref="G23:H23"/>
    <mergeCell ref="I18:J18"/>
    <mergeCell ref="B19:D20"/>
    <mergeCell ref="E19:F19"/>
    <mergeCell ref="G19:H19"/>
    <mergeCell ref="I19:J19"/>
    <mergeCell ref="E20:F20"/>
    <mergeCell ref="G20:H20"/>
    <mergeCell ref="B16:D16"/>
    <mergeCell ref="E16:F16"/>
    <mergeCell ref="G16:H16"/>
    <mergeCell ref="I16:J16"/>
    <mergeCell ref="B17:D18"/>
    <mergeCell ref="E17:F17"/>
    <mergeCell ref="G17:H17"/>
    <mergeCell ref="I17:J17"/>
    <mergeCell ref="E18:F18"/>
    <mergeCell ref="G18:H18"/>
    <mergeCell ref="E3:J5"/>
    <mergeCell ref="B15:D15"/>
    <mergeCell ref="E15:F15"/>
    <mergeCell ref="G15:H15"/>
    <mergeCell ref="I15:J15"/>
    <mergeCell ref="G9:H10"/>
    <mergeCell ref="B10:D10"/>
    <mergeCell ref="E11:F11"/>
    <mergeCell ref="G11:H11"/>
    <mergeCell ref="I11:J11"/>
    <mergeCell ref="E12:E14"/>
    <mergeCell ref="J12:J14"/>
  </mergeCells>
  <pageMargins left="0.7" right="0.7" top="0.75" bottom="0.75" header="0.3" footer="0.3"/>
  <pageSetup paperSize="9" scale="69" orientation="portrait" r:id="rId1"/>
  <rowBreaks count="1" manualBreakCount="1">
    <brk id="37" max="10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E2A3-86E3-46DE-8D23-6B45D94CF8F0}">
  <dimension ref="B2:K61"/>
  <sheetViews>
    <sheetView tabSelected="1" showWhiteSpace="0" view="pageBreakPreview" topLeftCell="A21" zoomScale="175" zoomScaleNormal="100" zoomScaleSheetLayoutView="175" zoomScalePageLayoutView="117" workbookViewId="0">
      <selection activeCell="E32" sqref="E32:F32"/>
    </sheetView>
  </sheetViews>
  <sheetFormatPr baseColWidth="10" defaultColWidth="11.6640625" defaultRowHeight="14.4" x14ac:dyDescent="0.3"/>
  <cols>
    <col min="1" max="1" width="3.77734375" style="19" customWidth="1"/>
    <col min="2" max="2" width="11.6640625" style="19" customWidth="1"/>
    <col min="3" max="3" width="11.6640625" style="19"/>
    <col min="4" max="4" width="11.33203125" style="19" customWidth="1"/>
    <col min="5" max="5" width="11.6640625" style="19" customWidth="1"/>
    <col min="6" max="6" width="11.6640625" style="19"/>
    <col min="7" max="7" width="11.33203125" style="19" customWidth="1"/>
    <col min="8" max="9" width="11.6640625" style="19"/>
    <col min="10" max="10" width="11.6640625" style="19" customWidth="1"/>
    <col min="11" max="11" width="3.77734375" style="19" customWidth="1"/>
    <col min="12" max="16384" width="11.6640625" style="19"/>
  </cols>
  <sheetData>
    <row r="2" spans="2:1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2:11" ht="18" customHeight="1" x14ac:dyDescent="0.3">
      <c r="B3" s="22"/>
      <c r="C3" s="22"/>
      <c r="D3" s="22"/>
      <c r="E3" s="235" t="s">
        <v>825</v>
      </c>
      <c r="F3" s="235"/>
      <c r="G3" s="235"/>
      <c r="H3" s="235"/>
      <c r="I3" s="235"/>
      <c r="J3" s="235"/>
      <c r="K3" s="23"/>
    </row>
    <row r="4" spans="2:11" ht="18" customHeight="1" x14ac:dyDescent="0.3">
      <c r="B4" s="20"/>
      <c r="C4" s="20"/>
      <c r="D4" s="20"/>
      <c r="E4" s="235"/>
      <c r="F4" s="235"/>
      <c r="G4" s="235"/>
      <c r="H4" s="235"/>
      <c r="I4" s="235"/>
      <c r="J4" s="235"/>
    </row>
    <row r="5" spans="2:11" x14ac:dyDescent="0.3">
      <c r="B5" s="20"/>
      <c r="C5" s="20"/>
      <c r="D5" s="20"/>
      <c r="E5" s="235"/>
      <c r="F5" s="235"/>
      <c r="G5" s="235"/>
      <c r="H5" s="235"/>
      <c r="I5" s="235"/>
      <c r="J5" s="235"/>
    </row>
    <row r="6" spans="2:11" ht="18" x14ac:dyDescent="0.4">
      <c r="B6" s="21"/>
      <c r="C6" s="21"/>
      <c r="D6" s="28"/>
      <c r="E6" s="21"/>
      <c r="F6" s="21"/>
      <c r="G6" s="21"/>
      <c r="H6" s="20"/>
      <c r="I6" s="20"/>
      <c r="J6" s="21"/>
      <c r="K6" s="24"/>
    </row>
    <row r="7" spans="2:11" ht="14.7" customHeight="1" x14ac:dyDescent="0.4">
      <c r="B7" s="29"/>
      <c r="C7" s="29"/>
      <c r="D7" s="29"/>
      <c r="E7" s="31"/>
      <c r="F7" s="31"/>
      <c r="G7" s="31"/>
      <c r="H7" s="30"/>
      <c r="I7" s="30"/>
      <c r="J7" s="30"/>
      <c r="K7" s="24"/>
    </row>
    <row r="8" spans="2:11" x14ac:dyDescent="0.3">
      <c r="D8" s="34"/>
      <c r="E8" s="34"/>
      <c r="F8" s="34"/>
    </row>
    <row r="9" spans="2:11" ht="14.4" customHeight="1" x14ac:dyDescent="0.3">
      <c r="D9" s="34"/>
      <c r="G9" s="239" t="s">
        <v>824</v>
      </c>
      <c r="H9" s="239"/>
    </row>
    <row r="10" spans="2:11" ht="14.4" customHeight="1" x14ac:dyDescent="0.3">
      <c r="B10" s="236"/>
      <c r="C10" s="236"/>
      <c r="D10" s="236"/>
      <c r="G10" s="239"/>
      <c r="H10" s="239"/>
    </row>
    <row r="11" spans="2:11" x14ac:dyDescent="0.3">
      <c r="E11" s="240"/>
      <c r="F11" s="240"/>
      <c r="G11" s="236"/>
      <c r="H11" s="236"/>
      <c r="I11" s="236"/>
      <c r="J11" s="236"/>
    </row>
    <row r="12" spans="2:11" x14ac:dyDescent="0.3">
      <c r="B12" s="147"/>
      <c r="C12" s="147"/>
      <c r="D12" s="147"/>
      <c r="E12" s="241">
        <f ca="1">Backend_2!N4</f>
        <v>0</v>
      </c>
      <c r="F12" s="148"/>
      <c r="G12" s="147"/>
      <c r="H12" s="147"/>
      <c r="I12" s="147"/>
      <c r="J12" s="241">
        <f ca="1">Backend_2!N4</f>
        <v>0</v>
      </c>
    </row>
    <row r="13" spans="2:11" x14ac:dyDescent="0.3">
      <c r="B13" s="147"/>
      <c r="C13" s="147"/>
      <c r="D13" s="147"/>
      <c r="E13" s="242"/>
      <c r="F13" s="148"/>
      <c r="G13" s="147"/>
      <c r="H13" s="147"/>
      <c r="I13" s="147"/>
      <c r="J13" s="242"/>
    </row>
    <row r="14" spans="2:11" x14ac:dyDescent="0.3">
      <c r="B14" s="147"/>
      <c r="C14" s="147"/>
      <c r="D14" s="147"/>
      <c r="E14" s="242"/>
      <c r="F14" s="148"/>
      <c r="G14" s="147"/>
      <c r="H14" s="147"/>
      <c r="I14" s="147"/>
      <c r="J14" s="242"/>
    </row>
    <row r="15" spans="2:11" x14ac:dyDescent="0.3">
      <c r="B15" s="236"/>
      <c r="C15" s="236"/>
      <c r="D15" s="236"/>
      <c r="E15" s="240"/>
      <c r="F15" s="240"/>
      <c r="G15" s="236"/>
      <c r="H15" s="236"/>
      <c r="I15" s="236"/>
      <c r="J15" s="236"/>
    </row>
    <row r="16" spans="2:11" s="149" customFormat="1" ht="35.4" customHeight="1" x14ac:dyDescent="0.3">
      <c r="B16" s="237" t="str">
        <f>Backend_2!A1</f>
        <v>Bloc de critères</v>
      </c>
      <c r="C16" s="238"/>
      <c r="D16" s="238"/>
      <c r="E16" s="237" t="str">
        <f>Backend_2!B1</f>
        <v>Rubrique</v>
      </c>
      <c r="F16" s="238"/>
      <c r="G16" s="237" t="str">
        <f>Backend_2!C1</f>
        <v>Taux de conformité des critères majeurs</v>
      </c>
      <c r="H16" s="238"/>
      <c r="I16" s="237" t="str">
        <f>Backend_2!D1</f>
        <v>Taux de conformité des critères mineurs</v>
      </c>
      <c r="J16" s="238"/>
    </row>
    <row r="17" spans="2:10" s="149" customFormat="1" ht="16.2" x14ac:dyDescent="0.3">
      <c r="B17" s="245" t="str">
        <f>Backend_2!A2</f>
        <v>Information et réservation</v>
      </c>
      <c r="C17" s="245"/>
      <c r="D17" s="245"/>
      <c r="E17" s="231" t="str">
        <f>Backend_2!B2</f>
        <v>Information</v>
      </c>
      <c r="F17" s="232"/>
      <c r="G17" s="233" t="str">
        <f ca="1">Backend_2!C2</f>
        <v>Non appliqué</v>
      </c>
      <c r="H17" s="234"/>
      <c r="I17" s="233">
        <f ca="1">Backend_2!D2</f>
        <v>0</v>
      </c>
      <c r="J17" s="234"/>
    </row>
    <row r="18" spans="2:10" s="149" customFormat="1" ht="16.2" x14ac:dyDescent="0.3">
      <c r="B18" s="231"/>
      <c r="C18" s="231"/>
      <c r="D18" s="231"/>
      <c r="E18" s="231" t="str">
        <f>Backend_2!B3</f>
        <v>Réservation</v>
      </c>
      <c r="F18" s="232"/>
      <c r="G18" s="233">
        <f ca="1">Backend_2!C3</f>
        <v>0</v>
      </c>
      <c r="H18" s="234"/>
      <c r="I18" s="233">
        <f ca="1">Backend_2!D3</f>
        <v>0</v>
      </c>
      <c r="J18" s="234"/>
    </row>
    <row r="19" spans="2:10" s="149" customFormat="1" ht="16.2" x14ac:dyDescent="0.3">
      <c r="B19" s="231" t="str">
        <f>Backend_2!A4</f>
        <v>Extérieur</v>
      </c>
      <c r="C19" s="231"/>
      <c r="D19" s="231"/>
      <c r="E19" s="231" t="str">
        <f>Backend_2!B6</f>
        <v>Façades</v>
      </c>
      <c r="F19" s="232"/>
      <c r="G19" s="233">
        <f ca="1">Backend_2!C6</f>
        <v>0</v>
      </c>
      <c r="H19" s="234"/>
      <c r="I19" s="233" t="str">
        <f ca="1">Backend_2!D6</f>
        <v>Non appliqué</v>
      </c>
      <c r="J19" s="234"/>
    </row>
    <row r="20" spans="2:10" s="149" customFormat="1" ht="16.2" x14ac:dyDescent="0.3">
      <c r="B20" s="245" t="str">
        <f>Backend_2!A7</f>
        <v>Accueil et réception</v>
      </c>
      <c r="C20" s="245"/>
      <c r="D20" s="245"/>
      <c r="E20" s="231" t="str">
        <f>Backend_2!B7</f>
        <v>Entrée</v>
      </c>
      <c r="F20" s="232"/>
      <c r="G20" s="233">
        <f ca="1">Backend_2!C7</f>
        <v>0</v>
      </c>
      <c r="H20" s="234"/>
      <c r="I20" s="233">
        <f ca="1">Backend_2!D7</f>
        <v>0</v>
      </c>
      <c r="J20" s="234"/>
    </row>
    <row r="21" spans="2:10" s="149" customFormat="1" ht="16.2" x14ac:dyDescent="0.3">
      <c r="B21" s="246"/>
      <c r="C21" s="246"/>
      <c r="D21" s="246"/>
      <c r="E21" s="231" t="str">
        <f>Backend_2!B8</f>
        <v>Hall d'accueil et salons</v>
      </c>
      <c r="F21" s="232"/>
      <c r="G21" s="233">
        <f ca="1">Backend_2!C8</f>
        <v>0</v>
      </c>
      <c r="H21" s="234"/>
      <c r="I21" s="233">
        <f ca="1">Backend_2!D8</f>
        <v>0</v>
      </c>
      <c r="J21" s="234"/>
    </row>
    <row r="22" spans="2:10" s="149" customFormat="1" ht="16.2" x14ac:dyDescent="0.3">
      <c r="B22" s="246"/>
      <c r="C22" s="246"/>
      <c r="D22" s="246"/>
      <c r="E22" s="231" t="str">
        <f>Backend_2!B9</f>
        <v>Réception</v>
      </c>
      <c r="F22" s="232"/>
      <c r="G22" s="233">
        <f ca="1">Backend_2!C9</f>
        <v>0</v>
      </c>
      <c r="H22" s="234"/>
      <c r="I22" s="233">
        <f ca="1">Backend_2!D9</f>
        <v>0</v>
      </c>
      <c r="J22" s="234"/>
    </row>
    <row r="23" spans="2:10" s="149" customFormat="1" ht="16.2" x14ac:dyDescent="0.3">
      <c r="B23" s="231"/>
      <c r="C23" s="231"/>
      <c r="D23" s="231"/>
      <c r="E23" s="231" t="str">
        <f>Backend_2!B11</f>
        <v>Bagagerie</v>
      </c>
      <c r="F23" s="232"/>
      <c r="G23" s="233" t="str">
        <f ca="1">Backend_2!C11</f>
        <v>Non appliqué</v>
      </c>
      <c r="H23" s="234"/>
      <c r="I23" s="233">
        <f ca="1">Backend_2!D11</f>
        <v>0</v>
      </c>
      <c r="J23" s="234"/>
    </row>
    <row r="24" spans="2:10" s="149" customFormat="1" ht="16.2" x14ac:dyDescent="0.3">
      <c r="B24" s="245" t="str">
        <f>Backend_2!A12</f>
        <v>Sanitaires publiques</v>
      </c>
      <c r="C24" s="245"/>
      <c r="D24" s="245"/>
      <c r="E24" s="231" t="str">
        <f>Backend_2!B12</f>
        <v>Aspect général</v>
      </c>
      <c r="F24" s="232"/>
      <c r="G24" s="233">
        <f ca="1">Backend_2!C12</f>
        <v>0</v>
      </c>
      <c r="H24" s="234"/>
      <c r="I24" s="233">
        <f ca="1">Backend_2!D12</f>
        <v>0</v>
      </c>
      <c r="J24" s="234"/>
    </row>
    <row r="25" spans="2:10" s="149" customFormat="1" ht="16.2" x14ac:dyDescent="0.3">
      <c r="B25" s="246"/>
      <c r="C25" s="246"/>
      <c r="D25" s="246"/>
      <c r="E25" s="231" t="str">
        <f>Backend_2!B13</f>
        <v>Cabines de toilette</v>
      </c>
      <c r="F25" s="232"/>
      <c r="G25" s="233">
        <f ca="1">Backend_2!C13</f>
        <v>0</v>
      </c>
      <c r="H25" s="234"/>
      <c r="I25" s="233">
        <f ca="1">Backend_2!D13</f>
        <v>0</v>
      </c>
      <c r="J25" s="234"/>
    </row>
    <row r="26" spans="2:10" s="149" customFormat="1" ht="16.2" x14ac:dyDescent="0.3">
      <c r="B26" s="231"/>
      <c r="C26" s="231"/>
      <c r="D26" s="231"/>
      <c r="E26" s="231" t="str">
        <f>Backend_2!B14</f>
        <v>Lavabo</v>
      </c>
      <c r="F26" s="232"/>
      <c r="G26" s="233">
        <f ca="1">Backend_2!C14</f>
        <v>0</v>
      </c>
      <c r="H26" s="234"/>
      <c r="I26" s="233">
        <f ca="1">Backend_2!D14</f>
        <v>0</v>
      </c>
      <c r="J26" s="234"/>
    </row>
    <row r="27" spans="2:10" s="149" customFormat="1" ht="16.2" x14ac:dyDescent="0.3">
      <c r="B27" s="245" t="str">
        <f>Backend_2!A15</f>
        <v>Circulation</v>
      </c>
      <c r="C27" s="245"/>
      <c r="D27" s="245"/>
      <c r="E27" s="231" t="str">
        <f>Backend_2!B15</f>
        <v>Couloirs et allées</v>
      </c>
      <c r="F27" s="232"/>
      <c r="G27" s="233">
        <f ca="1">Backend_2!C15</f>
        <v>0</v>
      </c>
      <c r="H27" s="234"/>
      <c r="I27" s="233">
        <f ca="1">Backend_2!D15</f>
        <v>0</v>
      </c>
      <c r="J27" s="234"/>
    </row>
    <row r="28" spans="2:10" s="149" customFormat="1" ht="16.2" x14ac:dyDescent="0.3">
      <c r="B28" s="231"/>
      <c r="C28" s="231"/>
      <c r="D28" s="231"/>
      <c r="E28" s="231" t="str">
        <f>Backend_2!B16</f>
        <v>Ascenseurs</v>
      </c>
      <c r="F28" s="232"/>
      <c r="G28" s="233" t="str">
        <f ca="1">Backend_2!C16</f>
        <v>Non appliqué</v>
      </c>
      <c r="H28" s="234"/>
      <c r="I28" s="233">
        <f ca="1">Backend_2!D16</f>
        <v>0</v>
      </c>
      <c r="J28" s="234"/>
    </row>
    <row r="29" spans="2:10" s="149" customFormat="1" ht="16.2" x14ac:dyDescent="0.3">
      <c r="B29" s="245" t="str">
        <f>Backend_2!A17</f>
        <v>Petit déjeuner</v>
      </c>
      <c r="C29" s="245"/>
      <c r="D29" s="245"/>
      <c r="E29" s="231" t="str">
        <f>Backend_2!B17</f>
        <v>Généralités</v>
      </c>
      <c r="F29" s="232"/>
      <c r="G29" s="233">
        <f ca="1">Backend_2!C17</f>
        <v>0</v>
      </c>
      <c r="H29" s="234"/>
      <c r="I29" s="233">
        <f ca="1">Backend_2!D17</f>
        <v>0</v>
      </c>
      <c r="J29" s="234"/>
    </row>
    <row r="30" spans="2:10" s="149" customFormat="1" ht="16.2" x14ac:dyDescent="0.3">
      <c r="B30" s="231"/>
      <c r="C30" s="231"/>
      <c r="D30" s="231"/>
      <c r="E30" s="231" t="str">
        <f>Backend_2!B18</f>
        <v>Equipement et mobilier</v>
      </c>
      <c r="F30" s="232"/>
      <c r="G30" s="233">
        <f ca="1">Backend_2!C18</f>
        <v>0</v>
      </c>
      <c r="H30" s="234"/>
      <c r="I30" s="233" t="str">
        <f ca="1">Backend_2!D18</f>
        <v>Non appliqué</v>
      </c>
      <c r="J30" s="234"/>
    </row>
    <row r="31" spans="2:10" s="149" customFormat="1" ht="16.2" x14ac:dyDescent="0.3">
      <c r="B31" s="245" t="str">
        <f>Backend_2!A19</f>
        <v>Restaurant principal</v>
      </c>
      <c r="C31" s="245"/>
      <c r="D31" s="245"/>
      <c r="E31" s="231" t="str">
        <f>Backend_2!B19</f>
        <v>Généralités</v>
      </c>
      <c r="F31" s="232"/>
      <c r="G31" s="233">
        <f ca="1">Backend_2!C19</f>
        <v>0</v>
      </c>
      <c r="H31" s="234"/>
      <c r="I31" s="233">
        <f ca="1">Backend_2!D19</f>
        <v>0</v>
      </c>
      <c r="J31" s="234"/>
    </row>
    <row r="32" spans="2:10" s="149" customFormat="1" ht="16.2" x14ac:dyDescent="0.3">
      <c r="B32" s="231"/>
      <c r="C32" s="231"/>
      <c r="D32" s="231"/>
      <c r="E32" s="231" t="str">
        <f>Backend_2!B20</f>
        <v>Equipement et mobilier</v>
      </c>
      <c r="F32" s="232"/>
      <c r="G32" s="233">
        <f ca="1">Backend_2!C20</f>
        <v>0</v>
      </c>
      <c r="H32" s="234"/>
      <c r="I32" s="233">
        <f ca="1">Backend_2!D20</f>
        <v>0</v>
      </c>
      <c r="J32" s="234"/>
    </row>
    <row r="33" spans="2:10" s="149" customFormat="1" ht="16.2" x14ac:dyDescent="0.3">
      <c r="B33" s="245" t="str">
        <f>Backend_2!A48</f>
        <v>Espaces d'habitation</v>
      </c>
      <c r="C33" s="245"/>
      <c r="D33" s="245"/>
      <c r="E33" s="231" t="str">
        <f>Backend_2!B48</f>
        <v>Généralités</v>
      </c>
      <c r="F33" s="232"/>
      <c r="G33" s="233">
        <f ca="1">Backend_2!C48</f>
        <v>0</v>
      </c>
      <c r="H33" s="234"/>
      <c r="I33" s="233">
        <f ca="1">Backend_2!D48</f>
        <v>0</v>
      </c>
      <c r="J33" s="234"/>
    </row>
    <row r="34" spans="2:10" s="149" customFormat="1" ht="16.2" x14ac:dyDescent="0.3">
      <c r="B34" s="246"/>
      <c r="C34" s="246"/>
      <c r="D34" s="246"/>
      <c r="E34" s="231" t="str">
        <f>Backend_2!B49</f>
        <v>Porte</v>
      </c>
      <c r="F34" s="232"/>
      <c r="G34" s="233">
        <f ca="1">Backend_2!C49</f>
        <v>0</v>
      </c>
      <c r="H34" s="234"/>
      <c r="I34" s="233">
        <f ca="1">Backend_2!D49</f>
        <v>0</v>
      </c>
      <c r="J34" s="234"/>
    </row>
    <row r="35" spans="2:10" s="149" customFormat="1" ht="30.6" customHeight="1" x14ac:dyDescent="0.3">
      <c r="B35" s="246"/>
      <c r="C35" s="246"/>
      <c r="D35" s="246"/>
      <c r="E35" s="231" t="str">
        <f>Backend_2!B50</f>
        <v>Placard/penderie/dressing</v>
      </c>
      <c r="F35" s="232"/>
      <c r="G35" s="233">
        <f ca="1">Backend_2!C50</f>
        <v>0</v>
      </c>
      <c r="H35" s="234"/>
      <c r="I35" s="233" t="str">
        <f ca="1">Backend_2!D50</f>
        <v>Non appliqué</v>
      </c>
      <c r="J35" s="234"/>
    </row>
    <row r="36" spans="2:10" s="149" customFormat="1" ht="16.2" x14ac:dyDescent="0.3">
      <c r="B36" s="246"/>
      <c r="C36" s="246"/>
      <c r="D36" s="246"/>
      <c r="E36" s="231" t="str">
        <f>Backend_2!B51</f>
        <v>Literie</v>
      </c>
      <c r="F36" s="232"/>
      <c r="G36" s="233">
        <f ca="1">Backend_2!C51</f>
        <v>0</v>
      </c>
      <c r="H36" s="234"/>
      <c r="I36" s="233">
        <f ca="1">Backend_2!D51</f>
        <v>0</v>
      </c>
      <c r="J36" s="234"/>
    </row>
    <row r="37" spans="2:10" s="149" customFormat="1" ht="16.2" x14ac:dyDescent="0.3">
      <c r="B37" s="246"/>
      <c r="C37" s="246"/>
      <c r="D37" s="246"/>
      <c r="E37" s="231" t="str">
        <f>Backend_2!B52</f>
        <v>Rideaux</v>
      </c>
      <c r="F37" s="232"/>
      <c r="G37" s="233">
        <f ca="1">Backend_2!C52</f>
        <v>0</v>
      </c>
      <c r="H37" s="234"/>
      <c r="I37" s="233">
        <f ca="1">Backend_2!D52</f>
        <v>0</v>
      </c>
      <c r="J37" s="234"/>
    </row>
    <row r="38" spans="2:10" s="149" customFormat="1" ht="16.2" x14ac:dyDescent="0.3">
      <c r="B38" s="246"/>
      <c r="C38" s="246"/>
      <c r="D38" s="246"/>
      <c r="E38" s="231" t="str">
        <f>Backend_2!B53</f>
        <v>Mobilier</v>
      </c>
      <c r="F38" s="232"/>
      <c r="G38" s="233">
        <f ca="1">Backend_2!C53</f>
        <v>0</v>
      </c>
      <c r="H38" s="234"/>
      <c r="I38" s="233">
        <f ca="1">Backend_2!D53</f>
        <v>0</v>
      </c>
      <c r="J38" s="234"/>
    </row>
    <row r="39" spans="2:10" s="149" customFormat="1" ht="16.2" x14ac:dyDescent="0.3">
      <c r="B39" s="246"/>
      <c r="C39" s="246"/>
      <c r="D39" s="246"/>
      <c r="E39" s="231" t="str">
        <f>Backend_2!B54</f>
        <v>Télévision</v>
      </c>
      <c r="F39" s="232"/>
      <c r="G39" s="233">
        <f ca="1">Backend_2!C54</f>
        <v>0</v>
      </c>
      <c r="H39" s="234"/>
      <c r="I39" s="233" t="str">
        <f ca="1">Backend_2!D54</f>
        <v>Non appliqué</v>
      </c>
      <c r="J39" s="234"/>
    </row>
    <row r="40" spans="2:10" s="149" customFormat="1" ht="16.2" x14ac:dyDescent="0.3">
      <c r="B40" s="246"/>
      <c r="C40" s="246"/>
      <c r="D40" s="246"/>
      <c r="E40" s="231" t="str">
        <f>Backend_2!B55</f>
        <v>Téléphone et Internet</v>
      </c>
      <c r="F40" s="232"/>
      <c r="G40" s="233" t="str">
        <f ca="1">Backend_2!C55</f>
        <v>Non appliqué</v>
      </c>
      <c r="H40" s="234"/>
      <c r="I40" s="233">
        <f ca="1">Backend_2!D55</f>
        <v>0</v>
      </c>
      <c r="J40" s="234"/>
    </row>
    <row r="41" spans="2:10" s="149" customFormat="1" ht="34.200000000000003" customHeight="1" x14ac:dyDescent="0.3">
      <c r="B41" s="246"/>
      <c r="C41" s="246"/>
      <c r="D41" s="246"/>
      <c r="E41" s="231" t="str">
        <f>Backend_2!B56</f>
        <v>Equipements électriques et éclairage</v>
      </c>
      <c r="F41" s="232"/>
      <c r="G41" s="233">
        <f ca="1">Backend_2!C56</f>
        <v>0</v>
      </c>
      <c r="H41" s="234"/>
      <c r="I41" s="233">
        <f ca="1">Backend_2!D56</f>
        <v>0</v>
      </c>
      <c r="J41" s="234"/>
    </row>
    <row r="42" spans="2:10" s="149" customFormat="1" ht="16.2" x14ac:dyDescent="0.3">
      <c r="B42" s="231"/>
      <c r="C42" s="231"/>
      <c r="D42" s="231"/>
      <c r="E42" s="231" t="str">
        <f>Backend_2!B58</f>
        <v>Services</v>
      </c>
      <c r="F42" s="232"/>
      <c r="G42" s="233">
        <f ca="1">Backend_2!C58</f>
        <v>0</v>
      </c>
      <c r="H42" s="234"/>
      <c r="I42" s="233">
        <f ca="1">Backend_2!D58</f>
        <v>0</v>
      </c>
      <c r="J42" s="234"/>
    </row>
    <row r="43" spans="2:10" s="149" customFormat="1" ht="16.2" x14ac:dyDescent="0.3">
      <c r="B43" s="245" t="str">
        <f>Backend_2!A59</f>
        <v>Salle de bain et toilettes</v>
      </c>
      <c r="C43" s="245"/>
      <c r="D43" s="245"/>
      <c r="E43" s="231" t="str">
        <f>Backend_2!B59</f>
        <v>Généralités</v>
      </c>
      <c r="F43" s="232"/>
      <c r="G43" s="233">
        <f ca="1">Backend_2!C59</f>
        <v>0</v>
      </c>
      <c r="H43" s="234"/>
      <c r="I43" s="233">
        <f ca="1">Backend_2!D59</f>
        <v>0</v>
      </c>
      <c r="J43" s="234"/>
    </row>
    <row r="44" spans="2:10" s="149" customFormat="1" ht="16.2" x14ac:dyDescent="0.3">
      <c r="B44" s="246"/>
      <c r="C44" s="246"/>
      <c r="D44" s="246"/>
      <c r="E44" s="231" t="str">
        <f>Backend_2!B60</f>
        <v>Lavabo</v>
      </c>
      <c r="F44" s="232"/>
      <c r="G44" s="233">
        <f ca="1">Backend_2!C60</f>
        <v>0</v>
      </c>
      <c r="H44" s="234"/>
      <c r="I44" s="233">
        <f ca="1">Backend_2!D60</f>
        <v>0</v>
      </c>
      <c r="J44" s="234"/>
    </row>
    <row r="45" spans="2:10" s="149" customFormat="1" ht="16.2" x14ac:dyDescent="0.3">
      <c r="B45" s="246"/>
      <c r="C45" s="246"/>
      <c r="D45" s="246"/>
      <c r="E45" s="231" t="str">
        <f>Backend_2!B61</f>
        <v>Douche</v>
      </c>
      <c r="F45" s="232"/>
      <c r="G45" s="233">
        <f ca="1">Backend_2!C61</f>
        <v>0</v>
      </c>
      <c r="H45" s="234"/>
      <c r="I45" s="233">
        <f ca="1">Backend_2!D61</f>
        <v>0</v>
      </c>
      <c r="J45" s="234"/>
    </row>
    <row r="46" spans="2:10" s="149" customFormat="1" ht="34.200000000000003" customHeight="1" x14ac:dyDescent="0.3">
      <c r="B46" s="246"/>
      <c r="C46" s="246"/>
      <c r="D46" s="246"/>
      <c r="E46" s="231" t="str">
        <f>Backend_2!B63</f>
        <v>Equipements de la salle de bain</v>
      </c>
      <c r="F46" s="232"/>
      <c r="G46" s="233">
        <f ca="1">Backend_2!C63</f>
        <v>0</v>
      </c>
      <c r="H46" s="234"/>
      <c r="I46" s="233" t="str">
        <f ca="1">Backend_2!D63</f>
        <v>Non appliqué</v>
      </c>
      <c r="J46" s="234"/>
    </row>
    <row r="47" spans="2:10" s="149" customFormat="1" ht="19.2" customHeight="1" x14ac:dyDescent="0.3">
      <c r="B47" s="246"/>
      <c r="C47" s="246"/>
      <c r="D47" s="246"/>
      <c r="E47" s="231" t="str">
        <f>Backend_2!B64</f>
        <v>Linge de la salle de bain</v>
      </c>
      <c r="F47" s="232"/>
      <c r="G47" s="233">
        <f ca="1">Backend_2!C64</f>
        <v>0</v>
      </c>
      <c r="H47" s="234"/>
      <c r="I47" s="233" t="str">
        <f ca="1">Backend_2!D64</f>
        <v>Non appliqué</v>
      </c>
      <c r="J47" s="234"/>
    </row>
    <row r="48" spans="2:10" s="149" customFormat="1" ht="16.2" x14ac:dyDescent="0.3">
      <c r="B48" s="246"/>
      <c r="C48" s="246"/>
      <c r="D48" s="246"/>
      <c r="E48" s="231" t="str">
        <f>Backend_2!B65</f>
        <v>Produits d'accueil</v>
      </c>
      <c r="F48" s="232"/>
      <c r="G48" s="233">
        <f ca="1">Backend_2!C65</f>
        <v>0</v>
      </c>
      <c r="H48" s="234"/>
      <c r="I48" s="233">
        <f ca="1">Backend_2!D65</f>
        <v>0</v>
      </c>
      <c r="J48" s="234"/>
    </row>
    <row r="49" spans="2:10" s="149" customFormat="1" ht="16.2" x14ac:dyDescent="0.3">
      <c r="B49" s="231"/>
      <c r="C49" s="231"/>
      <c r="D49" s="231"/>
      <c r="E49" s="231" t="str">
        <f>Backend_2!B66</f>
        <v>Toilettes</v>
      </c>
      <c r="F49" s="232"/>
      <c r="G49" s="233">
        <f ca="1">Backend_2!C66</f>
        <v>0</v>
      </c>
      <c r="H49" s="234"/>
      <c r="I49" s="233">
        <f ca="1">Backend_2!D66</f>
        <v>0</v>
      </c>
      <c r="J49" s="234"/>
    </row>
    <row r="50" spans="2:10" s="149" customFormat="1" ht="16.2" x14ac:dyDescent="0.3">
      <c r="B50" s="245" t="str">
        <f>Backend_2!A67</f>
        <v>Personnel</v>
      </c>
      <c r="C50" s="245"/>
      <c r="D50" s="245"/>
      <c r="E50" s="231" t="str">
        <f>Backend_2!B67</f>
        <v>Vestiaire du personnel</v>
      </c>
      <c r="F50" s="232"/>
      <c r="G50" s="233">
        <f ca="1">Backend_2!C67</f>
        <v>0</v>
      </c>
      <c r="H50" s="234"/>
      <c r="I50" s="233">
        <f ca="1">Backend_2!D67</f>
        <v>0</v>
      </c>
      <c r="J50" s="234"/>
    </row>
    <row r="51" spans="2:10" s="149" customFormat="1" ht="16.2" x14ac:dyDescent="0.3">
      <c r="B51" s="246"/>
      <c r="C51" s="246"/>
      <c r="D51" s="246"/>
      <c r="E51" s="231" t="str">
        <f>Backend_2!B68</f>
        <v>Réfectoire du personnel</v>
      </c>
      <c r="F51" s="232"/>
      <c r="G51" s="233">
        <f ca="1">Backend_2!C68</f>
        <v>0</v>
      </c>
      <c r="H51" s="234"/>
      <c r="I51" s="233" t="str">
        <f ca="1">Backend_2!D68</f>
        <v>Non appliqué</v>
      </c>
      <c r="J51" s="234"/>
    </row>
    <row r="52" spans="2:10" s="149" customFormat="1" ht="16.2" x14ac:dyDescent="0.3">
      <c r="B52" s="231"/>
      <c r="C52" s="231"/>
      <c r="D52" s="231"/>
      <c r="E52" s="231" t="str">
        <f>Backend_2!B69</f>
        <v>Formation et sensibilisation</v>
      </c>
      <c r="F52" s="232"/>
      <c r="G52" s="233" t="str">
        <f ca="1">Backend_2!C69</f>
        <v>Non appliqué</v>
      </c>
      <c r="H52" s="234"/>
      <c r="I52" s="233">
        <f ca="1">Backend_2!D69</f>
        <v>0</v>
      </c>
      <c r="J52" s="234"/>
    </row>
    <row r="53" spans="2:10" s="149" customFormat="1" ht="16.2" x14ac:dyDescent="0.3">
      <c r="B53" s="245" t="str">
        <f>Backend_2!A70</f>
        <v>Electricité, eau et assainissement</v>
      </c>
      <c r="C53" s="245"/>
      <c r="D53" s="245"/>
      <c r="E53" s="231" t="str">
        <f>Backend_2!B70</f>
        <v>Energie</v>
      </c>
      <c r="F53" s="232"/>
      <c r="G53" s="233">
        <f ca="1">Backend_2!C70</f>
        <v>0</v>
      </c>
      <c r="H53" s="234"/>
      <c r="I53" s="233">
        <f ca="1">Backend_2!D70</f>
        <v>0</v>
      </c>
      <c r="J53" s="234"/>
    </row>
    <row r="54" spans="2:10" s="149" customFormat="1" ht="16.2" x14ac:dyDescent="0.3">
      <c r="B54" s="246"/>
      <c r="C54" s="246"/>
      <c r="D54" s="246"/>
      <c r="E54" s="231" t="str">
        <f>Backend_2!B71</f>
        <v>Eau</v>
      </c>
      <c r="F54" s="232"/>
      <c r="G54" s="233">
        <f ca="1">Backend_2!C71</f>
        <v>0</v>
      </c>
      <c r="H54" s="234"/>
      <c r="I54" s="233">
        <f ca="1">Backend_2!D71</f>
        <v>0</v>
      </c>
      <c r="J54" s="234"/>
    </row>
    <row r="55" spans="2:10" s="149" customFormat="1" ht="16.2" x14ac:dyDescent="0.3">
      <c r="B55" s="231"/>
      <c r="C55" s="231"/>
      <c r="D55" s="231"/>
      <c r="E55" s="231" t="str">
        <f>Backend_2!B72</f>
        <v>Assainissement</v>
      </c>
      <c r="F55" s="232"/>
      <c r="G55" s="233">
        <f ca="1">Backend_2!C72</f>
        <v>0</v>
      </c>
      <c r="H55" s="234"/>
      <c r="I55" s="233">
        <f ca="1">Backend_2!D72</f>
        <v>0</v>
      </c>
      <c r="J55" s="234"/>
    </row>
    <row r="56" spans="2:10" s="33" customFormat="1" ht="16.8" customHeight="1" x14ac:dyDescent="0.3">
      <c r="B56" s="35"/>
      <c r="C56" s="35"/>
      <c r="D56" s="35"/>
      <c r="E56" s="35"/>
      <c r="F56" s="35"/>
      <c r="G56" s="35"/>
      <c r="H56" s="35"/>
      <c r="I56" s="35"/>
      <c r="J56" s="35"/>
    </row>
    <row r="57" spans="2:10" x14ac:dyDescent="0.3">
      <c r="B57" s="29"/>
      <c r="C57" s="29"/>
      <c r="D57" s="29"/>
      <c r="E57" s="31"/>
      <c r="F57" s="31"/>
      <c r="G57" s="31"/>
      <c r="H57" s="30"/>
      <c r="I57" s="30"/>
      <c r="J57" s="30"/>
    </row>
    <row r="58" spans="2:10" x14ac:dyDescent="0.3">
      <c r="B58" s="20"/>
      <c r="C58" s="20"/>
      <c r="D58" s="20"/>
      <c r="E58" s="20"/>
      <c r="F58" s="20"/>
      <c r="G58" s="20"/>
      <c r="H58" s="20"/>
      <c r="I58" s="20"/>
      <c r="J58" s="20"/>
    </row>
    <row r="59" spans="2:10" x14ac:dyDescent="0.3">
      <c r="B59" s="20"/>
      <c r="C59" s="20"/>
      <c r="D59" s="20"/>
      <c r="E59" s="20"/>
      <c r="F59" s="20"/>
      <c r="G59" s="20"/>
      <c r="H59" s="20"/>
      <c r="I59" s="20"/>
      <c r="J59" s="20"/>
    </row>
    <row r="60" spans="2:10" x14ac:dyDescent="0.3">
      <c r="B60" s="20"/>
      <c r="C60" s="20"/>
      <c r="D60" s="20"/>
      <c r="E60" s="20"/>
      <c r="F60" s="20"/>
      <c r="G60" s="20"/>
      <c r="H60" s="20"/>
      <c r="I60" s="20"/>
      <c r="J60" s="20"/>
    </row>
    <row r="61" spans="2:10" x14ac:dyDescent="0.3">
      <c r="B61" s="20"/>
      <c r="C61" s="20"/>
      <c r="D61" s="20"/>
      <c r="E61" s="20"/>
      <c r="F61" s="20"/>
      <c r="G61" s="20"/>
      <c r="H61" s="20"/>
      <c r="I61" s="20"/>
      <c r="J61" s="20"/>
    </row>
  </sheetData>
  <sheetProtection sheet="1" pivotTables="0"/>
  <mergeCells count="144">
    <mergeCell ref="B53:D55"/>
    <mergeCell ref="E53:F53"/>
    <mergeCell ref="G53:H53"/>
    <mergeCell ref="I53:J53"/>
    <mergeCell ref="E54:F54"/>
    <mergeCell ref="G54:H54"/>
    <mergeCell ref="I54:J54"/>
    <mergeCell ref="E55:F55"/>
    <mergeCell ref="G55:H55"/>
    <mergeCell ref="I55:J55"/>
    <mergeCell ref="B50:D52"/>
    <mergeCell ref="E50:F50"/>
    <mergeCell ref="G50:H50"/>
    <mergeCell ref="I50:J50"/>
    <mergeCell ref="E51:F51"/>
    <mergeCell ref="G51:H51"/>
    <mergeCell ref="I51:J51"/>
    <mergeCell ref="E45:F45"/>
    <mergeCell ref="G45:H45"/>
    <mergeCell ref="I45:J45"/>
    <mergeCell ref="B43:D49"/>
    <mergeCell ref="E43:F43"/>
    <mergeCell ref="G43:H43"/>
    <mergeCell ref="I43:J43"/>
    <mergeCell ref="E44:F44"/>
    <mergeCell ref="G44:H44"/>
    <mergeCell ref="I44:J44"/>
    <mergeCell ref="E52:F52"/>
    <mergeCell ref="G52:H52"/>
    <mergeCell ref="G48:H48"/>
    <mergeCell ref="I48:J48"/>
    <mergeCell ref="I52:J52"/>
    <mergeCell ref="E48:F48"/>
    <mergeCell ref="I46:J46"/>
    <mergeCell ref="E49:F49"/>
    <mergeCell ref="G49:H49"/>
    <mergeCell ref="I49:J49"/>
    <mergeCell ref="E46:F46"/>
    <mergeCell ref="G46:H46"/>
    <mergeCell ref="E41:F41"/>
    <mergeCell ref="G41:H41"/>
    <mergeCell ref="I41:J41"/>
    <mergeCell ref="G34:H34"/>
    <mergeCell ref="G37:H37"/>
    <mergeCell ref="I37:J37"/>
    <mergeCell ref="E38:F38"/>
    <mergeCell ref="E47:F47"/>
    <mergeCell ref="G47:H47"/>
    <mergeCell ref="I47:J47"/>
    <mergeCell ref="E42:F42"/>
    <mergeCell ref="G42:H42"/>
    <mergeCell ref="I42:J42"/>
    <mergeCell ref="G38:H38"/>
    <mergeCell ref="I38:J38"/>
    <mergeCell ref="I34:J34"/>
    <mergeCell ref="E35:F35"/>
    <mergeCell ref="G35:H35"/>
    <mergeCell ref="I35:J35"/>
    <mergeCell ref="B31:D32"/>
    <mergeCell ref="E31:F31"/>
    <mergeCell ref="G31:H31"/>
    <mergeCell ref="I31:J31"/>
    <mergeCell ref="E32:F32"/>
    <mergeCell ref="G32:H32"/>
    <mergeCell ref="I32:J32"/>
    <mergeCell ref="B29:D30"/>
    <mergeCell ref="E29:F29"/>
    <mergeCell ref="G29:H29"/>
    <mergeCell ref="I29:J29"/>
    <mergeCell ref="E30:F30"/>
    <mergeCell ref="G30:H30"/>
    <mergeCell ref="I30:J30"/>
    <mergeCell ref="B33:D42"/>
    <mergeCell ref="E33:F33"/>
    <mergeCell ref="G33:H33"/>
    <mergeCell ref="I33:J33"/>
    <mergeCell ref="E39:F39"/>
    <mergeCell ref="G39:H39"/>
    <mergeCell ref="I39:J39"/>
    <mergeCell ref="E40:F40"/>
    <mergeCell ref="G40:H40"/>
    <mergeCell ref="E36:F36"/>
    <mergeCell ref="G36:H36"/>
    <mergeCell ref="I36:J36"/>
    <mergeCell ref="E34:F34"/>
    <mergeCell ref="I40:J40"/>
    <mergeCell ref="E37:F37"/>
    <mergeCell ref="B27:D28"/>
    <mergeCell ref="E27:F27"/>
    <mergeCell ref="G27:H27"/>
    <mergeCell ref="I27:J27"/>
    <mergeCell ref="E28:F28"/>
    <mergeCell ref="G28:H28"/>
    <mergeCell ref="I28:J28"/>
    <mergeCell ref="B24:D26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I22:J22"/>
    <mergeCell ref="E23:F23"/>
    <mergeCell ref="G23:H23"/>
    <mergeCell ref="I23:J23"/>
    <mergeCell ref="I19:J19"/>
    <mergeCell ref="B20:D23"/>
    <mergeCell ref="E20:F20"/>
    <mergeCell ref="G20:H20"/>
    <mergeCell ref="I20:J20"/>
    <mergeCell ref="E21:F21"/>
    <mergeCell ref="G21:H21"/>
    <mergeCell ref="I21:J21"/>
    <mergeCell ref="E22:F22"/>
    <mergeCell ref="G22:H22"/>
    <mergeCell ref="I18:J18"/>
    <mergeCell ref="B19:D19"/>
    <mergeCell ref="E19:F19"/>
    <mergeCell ref="G19:H19"/>
    <mergeCell ref="B16:D16"/>
    <mergeCell ref="E16:F16"/>
    <mergeCell ref="G16:H16"/>
    <mergeCell ref="I16:J16"/>
    <mergeCell ref="B17:D18"/>
    <mergeCell ref="E17:F17"/>
    <mergeCell ref="G17:H17"/>
    <mergeCell ref="I17:J17"/>
    <mergeCell ref="E18:F18"/>
    <mergeCell ref="G18:H18"/>
    <mergeCell ref="E3:J5"/>
    <mergeCell ref="B15:D15"/>
    <mergeCell ref="E15:F15"/>
    <mergeCell ref="G15:H15"/>
    <mergeCell ref="I15:J15"/>
    <mergeCell ref="G9:H10"/>
    <mergeCell ref="B10:D10"/>
    <mergeCell ref="E11:F11"/>
    <mergeCell ref="G11:H11"/>
    <mergeCell ref="I11:J11"/>
    <mergeCell ref="E12:E14"/>
    <mergeCell ref="J12:J14"/>
  </mergeCells>
  <pageMargins left="0.7" right="0.7" top="0.75" bottom="0.75" header="0.3" footer="0.3"/>
  <pageSetup paperSize="9" scale="69" orientation="portrait" r:id="rId1"/>
  <rowBreaks count="1" manualBreakCount="1">
    <brk id="32" max="10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ACED-BD32-4488-9B7C-84B8AA9D680B}">
  <dimension ref="B2:K56"/>
  <sheetViews>
    <sheetView tabSelected="1" showWhiteSpace="0" view="pageBreakPreview" topLeftCell="A46" zoomScale="175" zoomScaleNormal="100" zoomScaleSheetLayoutView="175" zoomScalePageLayoutView="117" workbookViewId="0">
      <selection activeCell="E32" sqref="E32:F32"/>
    </sheetView>
  </sheetViews>
  <sheetFormatPr baseColWidth="10" defaultColWidth="11.6640625" defaultRowHeight="14.4" x14ac:dyDescent="0.3"/>
  <cols>
    <col min="1" max="1" width="3.77734375" style="19" customWidth="1"/>
    <col min="2" max="2" width="11.6640625" style="19" customWidth="1"/>
    <col min="3" max="3" width="11.6640625" style="19"/>
    <col min="4" max="4" width="11.33203125" style="19" customWidth="1"/>
    <col min="5" max="5" width="11.6640625" style="19" customWidth="1"/>
    <col min="6" max="6" width="11.6640625" style="19"/>
    <col min="7" max="7" width="11.33203125" style="19" customWidth="1"/>
    <col min="8" max="9" width="11.6640625" style="19"/>
    <col min="10" max="10" width="11.6640625" style="19" customWidth="1"/>
    <col min="11" max="11" width="3.77734375" style="19" customWidth="1"/>
    <col min="12" max="16384" width="11.6640625" style="19"/>
  </cols>
  <sheetData>
    <row r="2" spans="2:1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2:11" ht="18" customHeight="1" x14ac:dyDescent="0.3">
      <c r="B3" s="22"/>
      <c r="C3" s="22"/>
      <c r="D3" s="22"/>
      <c r="E3" s="235" t="s">
        <v>819</v>
      </c>
      <c r="F3" s="235"/>
      <c r="G3" s="235"/>
      <c r="H3" s="235"/>
      <c r="I3" s="235"/>
      <c r="J3" s="235"/>
      <c r="K3" s="23"/>
    </row>
    <row r="4" spans="2:11" ht="18" customHeight="1" x14ac:dyDescent="0.3">
      <c r="B4" s="20"/>
      <c r="C4" s="20"/>
      <c r="D4" s="20"/>
      <c r="E4" s="235"/>
      <c r="F4" s="235"/>
      <c r="G4" s="235"/>
      <c r="H4" s="235"/>
      <c r="I4" s="235"/>
      <c r="J4" s="235"/>
    </row>
    <row r="5" spans="2:11" x14ac:dyDescent="0.3">
      <c r="B5" s="20"/>
      <c r="C5" s="20"/>
      <c r="D5" s="20"/>
      <c r="E5" s="235"/>
      <c r="F5" s="235"/>
      <c r="G5" s="235"/>
      <c r="H5" s="235"/>
      <c r="I5" s="235"/>
      <c r="J5" s="235"/>
    </row>
    <row r="6" spans="2:11" ht="18" x14ac:dyDescent="0.4">
      <c r="B6" s="21"/>
      <c r="C6" s="21"/>
      <c r="D6" s="28"/>
      <c r="E6" s="21"/>
      <c r="F6" s="21"/>
      <c r="G6" s="21"/>
      <c r="H6" s="20"/>
      <c r="I6" s="20"/>
      <c r="J6" s="21"/>
      <c r="K6" s="24"/>
    </row>
    <row r="7" spans="2:11" ht="14.7" customHeight="1" x14ac:dyDescent="0.4">
      <c r="B7" s="29"/>
      <c r="C7" s="29"/>
      <c r="D7" s="29"/>
      <c r="E7" s="31"/>
      <c r="F7" s="31"/>
      <c r="G7" s="31"/>
      <c r="H7" s="30"/>
      <c r="I7" s="30"/>
      <c r="J7" s="30"/>
      <c r="K7" s="24"/>
    </row>
    <row r="8" spans="2:11" x14ac:dyDescent="0.3">
      <c r="D8" s="34"/>
      <c r="E8" s="34"/>
      <c r="F8" s="34"/>
    </row>
    <row r="9" spans="2:11" ht="14.4" customHeight="1" x14ac:dyDescent="0.3">
      <c r="D9" s="34"/>
      <c r="G9" s="239" t="s">
        <v>818</v>
      </c>
      <c r="H9" s="239"/>
    </row>
    <row r="10" spans="2:11" ht="14.4" customHeight="1" x14ac:dyDescent="0.3">
      <c r="B10" s="236"/>
      <c r="C10" s="236"/>
      <c r="D10" s="236"/>
      <c r="G10" s="239"/>
      <c r="H10" s="239"/>
    </row>
    <row r="11" spans="2:11" x14ac:dyDescent="0.3">
      <c r="E11" s="240"/>
      <c r="F11" s="240"/>
      <c r="G11" s="236"/>
      <c r="H11" s="236"/>
      <c r="I11" s="236"/>
      <c r="J11" s="236"/>
    </row>
    <row r="12" spans="2:11" x14ac:dyDescent="0.3">
      <c r="B12" s="147"/>
      <c r="C12" s="147"/>
      <c r="D12" s="147"/>
      <c r="E12" s="241">
        <f ca="1">Backend_1!N4</f>
        <v>0</v>
      </c>
      <c r="F12" s="148"/>
      <c r="G12" s="147"/>
      <c r="H12" s="147"/>
      <c r="I12" s="147"/>
      <c r="J12" s="241">
        <f ca="1">Backend_1!N4</f>
        <v>0</v>
      </c>
    </row>
    <row r="13" spans="2:11" x14ac:dyDescent="0.3">
      <c r="B13" s="147"/>
      <c r="C13" s="147"/>
      <c r="D13" s="147"/>
      <c r="E13" s="242"/>
      <c r="F13" s="148"/>
      <c r="G13" s="147"/>
      <c r="H13" s="147"/>
      <c r="I13" s="147"/>
      <c r="J13" s="242"/>
    </row>
    <row r="14" spans="2:11" x14ac:dyDescent="0.3">
      <c r="B14" s="147"/>
      <c r="C14" s="147"/>
      <c r="D14" s="147"/>
      <c r="E14" s="242"/>
      <c r="F14" s="148"/>
      <c r="G14" s="147"/>
      <c r="H14" s="147"/>
      <c r="I14" s="147"/>
      <c r="J14" s="242"/>
    </row>
    <row r="15" spans="2:11" x14ac:dyDescent="0.3">
      <c r="B15" s="236"/>
      <c r="C15" s="236"/>
      <c r="D15" s="236"/>
      <c r="E15" s="240"/>
      <c r="F15" s="240"/>
      <c r="G15" s="236"/>
      <c r="H15" s="236"/>
      <c r="I15" s="236"/>
      <c r="J15" s="236"/>
    </row>
    <row r="16" spans="2:11" s="149" customFormat="1" ht="35.4" customHeight="1" x14ac:dyDescent="0.3">
      <c r="B16" s="237" t="str">
        <f>Backend_1!A1</f>
        <v>Bloc de critères</v>
      </c>
      <c r="C16" s="238"/>
      <c r="D16" s="238"/>
      <c r="E16" s="237" t="str">
        <f>Backend_1!B1</f>
        <v>Rubrique</v>
      </c>
      <c r="F16" s="238"/>
      <c r="G16" s="237" t="str">
        <f>Backend_1!C1</f>
        <v>Taux de conformité des critères majeurs</v>
      </c>
      <c r="H16" s="238"/>
      <c r="I16" s="237" t="str">
        <f>Backend_1!D1</f>
        <v>Taux de conformité des critères mineurs</v>
      </c>
      <c r="J16" s="238"/>
    </row>
    <row r="17" spans="2:10" s="149" customFormat="1" ht="16.2" x14ac:dyDescent="0.3">
      <c r="B17" s="231" t="str">
        <f>Backend_1!A2</f>
        <v>Information et réservation</v>
      </c>
      <c r="C17" s="231"/>
      <c r="D17" s="231"/>
      <c r="E17" s="231" t="str">
        <f>Backend_1!B3</f>
        <v>Réservation</v>
      </c>
      <c r="F17" s="232"/>
      <c r="G17" s="233" t="str">
        <f ca="1">Backend_1!C3</f>
        <v>Non appliqué</v>
      </c>
      <c r="H17" s="234"/>
      <c r="I17" s="233">
        <f ca="1">Backend_1!D3</f>
        <v>0</v>
      </c>
      <c r="J17" s="234"/>
    </row>
    <row r="18" spans="2:10" s="149" customFormat="1" ht="16.2" x14ac:dyDescent="0.3">
      <c r="B18" s="231" t="str">
        <f>Backend_1!A4</f>
        <v>Extérieur</v>
      </c>
      <c r="C18" s="231"/>
      <c r="D18" s="231"/>
      <c r="E18" s="231" t="str">
        <f>Backend_1!B6</f>
        <v>Façades</v>
      </c>
      <c r="F18" s="232"/>
      <c r="G18" s="233">
        <f ca="1">Backend_1!C6</f>
        <v>0</v>
      </c>
      <c r="H18" s="234"/>
      <c r="I18" s="233" t="str">
        <f ca="1">Backend_1!D6</f>
        <v>Non appliqué</v>
      </c>
      <c r="J18" s="234"/>
    </row>
    <row r="19" spans="2:10" s="149" customFormat="1" ht="16.2" x14ac:dyDescent="0.3">
      <c r="B19" s="245" t="str">
        <f>Backend_1!A7</f>
        <v>Accueil et réception</v>
      </c>
      <c r="C19" s="245"/>
      <c r="D19" s="245"/>
      <c r="E19" s="231" t="str">
        <f>Backend_1!B7</f>
        <v>Entrée</v>
      </c>
      <c r="F19" s="232"/>
      <c r="G19" s="233">
        <f ca="1">Backend_1!C7</f>
        <v>0</v>
      </c>
      <c r="H19" s="234"/>
      <c r="I19" s="233" t="str">
        <f ca="1">Backend_1!D7</f>
        <v>Non appliqué</v>
      </c>
      <c r="J19" s="234"/>
    </row>
    <row r="20" spans="2:10" s="149" customFormat="1" ht="16.2" x14ac:dyDescent="0.3">
      <c r="B20" s="246"/>
      <c r="C20" s="246"/>
      <c r="D20" s="246"/>
      <c r="E20" s="231" t="str">
        <f>Backend_1!B8</f>
        <v>Hall d'accueil et salons</v>
      </c>
      <c r="F20" s="232"/>
      <c r="G20" s="233">
        <f ca="1">Backend_1!C8</f>
        <v>0</v>
      </c>
      <c r="H20" s="234"/>
      <c r="I20" s="233">
        <f ca="1">Backend_1!D8</f>
        <v>0</v>
      </c>
      <c r="J20" s="234"/>
    </row>
    <row r="21" spans="2:10" s="149" customFormat="1" ht="16.2" x14ac:dyDescent="0.3">
      <c r="B21" s="246"/>
      <c r="C21" s="246"/>
      <c r="D21" s="246"/>
      <c r="E21" s="231" t="str">
        <f>Backend_1!B9</f>
        <v>Réception</v>
      </c>
      <c r="F21" s="232"/>
      <c r="G21" s="233">
        <f ca="1">Backend_1!C9</f>
        <v>0</v>
      </c>
      <c r="H21" s="234"/>
      <c r="I21" s="233">
        <f ca="1">Backend_1!D9</f>
        <v>0</v>
      </c>
      <c r="J21" s="234"/>
    </row>
    <row r="22" spans="2:10" s="149" customFormat="1" ht="16.2" x14ac:dyDescent="0.3">
      <c r="B22" s="231"/>
      <c r="C22" s="231"/>
      <c r="D22" s="231"/>
      <c r="E22" s="231" t="str">
        <f>Backend_1!B11</f>
        <v>Bagagerie</v>
      </c>
      <c r="F22" s="232"/>
      <c r="G22" s="233" t="str">
        <f ca="1">Backend_1!C11</f>
        <v>Non appliqué</v>
      </c>
      <c r="H22" s="234"/>
      <c r="I22" s="233">
        <f ca="1">Backend_1!D11</f>
        <v>0</v>
      </c>
      <c r="J22" s="234"/>
    </row>
    <row r="23" spans="2:10" s="149" customFormat="1" ht="16.2" x14ac:dyDescent="0.3">
      <c r="B23" s="245" t="str">
        <f>Backend_1!A12</f>
        <v>Sanitaires publiques</v>
      </c>
      <c r="C23" s="245"/>
      <c r="D23" s="245"/>
      <c r="E23" s="231" t="str">
        <f>Backend_1!B12</f>
        <v>Aspect général</v>
      </c>
      <c r="F23" s="232"/>
      <c r="G23" s="233">
        <f ca="1">Backend_1!C12</f>
        <v>0</v>
      </c>
      <c r="H23" s="234"/>
      <c r="I23" s="233">
        <f ca="1">Backend_1!D12</f>
        <v>0</v>
      </c>
      <c r="J23" s="234"/>
    </row>
    <row r="24" spans="2:10" s="149" customFormat="1" ht="16.2" x14ac:dyDescent="0.3">
      <c r="B24" s="246"/>
      <c r="C24" s="246"/>
      <c r="D24" s="246"/>
      <c r="E24" s="231" t="str">
        <f>Backend_1!B13</f>
        <v>Cabines de toilette</v>
      </c>
      <c r="F24" s="232"/>
      <c r="G24" s="233">
        <f ca="1">Backend_1!C13</f>
        <v>0</v>
      </c>
      <c r="H24" s="234"/>
      <c r="I24" s="233">
        <f ca="1">Backend_1!D13</f>
        <v>0</v>
      </c>
      <c r="J24" s="234"/>
    </row>
    <row r="25" spans="2:10" s="149" customFormat="1" ht="16.2" x14ac:dyDescent="0.3">
      <c r="B25" s="231"/>
      <c r="C25" s="231"/>
      <c r="D25" s="231"/>
      <c r="E25" s="231" t="str">
        <f>Backend_1!B14</f>
        <v>Lavabo</v>
      </c>
      <c r="F25" s="232"/>
      <c r="G25" s="233">
        <f ca="1">Backend_1!C14</f>
        <v>0</v>
      </c>
      <c r="H25" s="234"/>
      <c r="I25" s="233">
        <f ca="1">Backend_1!D14</f>
        <v>0</v>
      </c>
      <c r="J25" s="234"/>
    </row>
    <row r="26" spans="2:10" s="149" customFormat="1" ht="16.2" x14ac:dyDescent="0.3">
      <c r="B26" s="245" t="str">
        <f>Backend_1!A15</f>
        <v>Circulation</v>
      </c>
      <c r="C26" s="245"/>
      <c r="D26" s="245"/>
      <c r="E26" s="231" t="str">
        <f>Backend_1!B15</f>
        <v>Couloirs et allées</v>
      </c>
      <c r="F26" s="232"/>
      <c r="G26" s="233">
        <f ca="1">Backend_1!C15</f>
        <v>0</v>
      </c>
      <c r="H26" s="234"/>
      <c r="I26" s="233">
        <f ca="1">Backend_1!D15</f>
        <v>0</v>
      </c>
      <c r="J26" s="234"/>
    </row>
    <row r="27" spans="2:10" s="149" customFormat="1" ht="16.2" x14ac:dyDescent="0.3">
      <c r="B27" s="245" t="str">
        <f>Backend_1!A17</f>
        <v>Petit déjeuner</v>
      </c>
      <c r="C27" s="245"/>
      <c r="D27" s="245"/>
      <c r="E27" s="231" t="str">
        <f>Backend_1!B17</f>
        <v>Généralités</v>
      </c>
      <c r="F27" s="232"/>
      <c r="G27" s="233" t="str">
        <f ca="1">Backend_1!C17</f>
        <v>Non appliqué</v>
      </c>
      <c r="H27" s="234"/>
      <c r="I27" s="233">
        <f ca="1">Backend_1!D17</f>
        <v>0</v>
      </c>
      <c r="J27" s="234"/>
    </row>
    <row r="28" spans="2:10" s="149" customFormat="1" ht="16.2" x14ac:dyDescent="0.3">
      <c r="B28" s="231"/>
      <c r="C28" s="231"/>
      <c r="D28" s="231"/>
      <c r="E28" s="231" t="str">
        <f>Backend_1!B18</f>
        <v>Equipement et mobilier</v>
      </c>
      <c r="F28" s="232"/>
      <c r="G28" s="233" t="str">
        <f ca="1">Backend_1!C18</f>
        <v>Non appliqué</v>
      </c>
      <c r="H28" s="234"/>
      <c r="I28" s="233">
        <f ca="1">Backend_1!D18</f>
        <v>0</v>
      </c>
      <c r="J28" s="234"/>
    </row>
    <row r="29" spans="2:10" s="149" customFormat="1" ht="16.2" x14ac:dyDescent="0.3">
      <c r="B29" s="245" t="str">
        <f>Backend_1!A48</f>
        <v>Espaces d'habitation</v>
      </c>
      <c r="C29" s="245"/>
      <c r="D29" s="245"/>
      <c r="E29" s="231" t="str">
        <f>Backend_1!B48</f>
        <v>Généralités</v>
      </c>
      <c r="F29" s="232"/>
      <c r="G29" s="233">
        <f ca="1">Backend_1!C48</f>
        <v>0</v>
      </c>
      <c r="H29" s="234"/>
      <c r="I29" s="233">
        <f ca="1">Backend_1!D48</f>
        <v>0</v>
      </c>
      <c r="J29" s="234"/>
    </row>
    <row r="30" spans="2:10" s="149" customFormat="1" ht="16.2" x14ac:dyDescent="0.3">
      <c r="B30" s="246"/>
      <c r="C30" s="246"/>
      <c r="D30" s="246"/>
      <c r="E30" s="231" t="str">
        <f>Backend_1!B49</f>
        <v>Porte</v>
      </c>
      <c r="F30" s="232"/>
      <c r="G30" s="233">
        <f ca="1">Backend_1!C49</f>
        <v>0</v>
      </c>
      <c r="H30" s="234"/>
      <c r="I30" s="233">
        <f ca="1">Backend_1!D49</f>
        <v>0</v>
      </c>
      <c r="J30" s="234"/>
    </row>
    <row r="31" spans="2:10" s="149" customFormat="1" ht="30.6" customHeight="1" x14ac:dyDescent="0.3">
      <c r="B31" s="246"/>
      <c r="C31" s="246"/>
      <c r="D31" s="246"/>
      <c r="E31" s="231" t="str">
        <f>Backend_1!B50</f>
        <v>Placard/penderie/dressing</v>
      </c>
      <c r="F31" s="232"/>
      <c r="G31" s="233">
        <f ca="1">Backend_1!C50</f>
        <v>0</v>
      </c>
      <c r="H31" s="234"/>
      <c r="I31" s="233">
        <f ca="1">Backend_1!D50</f>
        <v>0</v>
      </c>
      <c r="J31" s="234"/>
    </row>
    <row r="32" spans="2:10" s="149" customFormat="1" ht="16.2" x14ac:dyDescent="0.3">
      <c r="B32" s="246"/>
      <c r="C32" s="246"/>
      <c r="D32" s="246"/>
      <c r="E32" s="231" t="str">
        <f>Backend_1!B51</f>
        <v>Literie</v>
      </c>
      <c r="F32" s="232"/>
      <c r="G32" s="233">
        <f ca="1">Backend_1!C51</f>
        <v>0</v>
      </c>
      <c r="H32" s="234"/>
      <c r="I32" s="233" t="str">
        <f ca="1">Backend_1!D51</f>
        <v>Non appliqué</v>
      </c>
      <c r="J32" s="234"/>
    </row>
    <row r="33" spans="2:10" s="149" customFormat="1" ht="16.2" x14ac:dyDescent="0.3">
      <c r="B33" s="246"/>
      <c r="C33" s="246"/>
      <c r="D33" s="246"/>
      <c r="E33" s="231" t="str">
        <f>Backend_1!B52</f>
        <v>Rideaux</v>
      </c>
      <c r="F33" s="232"/>
      <c r="G33" s="233">
        <f ca="1">Backend_1!C52</f>
        <v>0</v>
      </c>
      <c r="H33" s="234"/>
      <c r="I33" s="233">
        <f ca="1">Backend_1!D52</f>
        <v>0</v>
      </c>
      <c r="J33" s="234"/>
    </row>
    <row r="34" spans="2:10" s="149" customFormat="1" ht="16.2" x14ac:dyDescent="0.3">
      <c r="B34" s="246"/>
      <c r="C34" s="246"/>
      <c r="D34" s="246"/>
      <c r="E34" s="231" t="str">
        <f>Backend_1!B53</f>
        <v>Mobilier</v>
      </c>
      <c r="F34" s="232"/>
      <c r="G34" s="233">
        <f ca="1">Backend_1!C53</f>
        <v>0</v>
      </c>
      <c r="H34" s="234"/>
      <c r="I34" s="233">
        <f ca="1">Backend_1!D53</f>
        <v>0</v>
      </c>
      <c r="J34" s="234"/>
    </row>
    <row r="35" spans="2:10" s="149" customFormat="1" ht="16.2" x14ac:dyDescent="0.3">
      <c r="B35" s="246"/>
      <c r="C35" s="246"/>
      <c r="D35" s="246"/>
      <c r="E35" s="231" t="str">
        <f>Backend_1!B54</f>
        <v>Télévision</v>
      </c>
      <c r="F35" s="232"/>
      <c r="G35" s="233">
        <f ca="1">Backend_1!C54</f>
        <v>0</v>
      </c>
      <c r="H35" s="234"/>
      <c r="I35" s="233">
        <f ca="1">Backend_1!D54</f>
        <v>0</v>
      </c>
      <c r="J35" s="234"/>
    </row>
    <row r="36" spans="2:10" s="149" customFormat="1" ht="34.200000000000003" customHeight="1" x14ac:dyDescent="0.3">
      <c r="B36" s="246"/>
      <c r="C36" s="246"/>
      <c r="D36" s="246"/>
      <c r="E36" s="231" t="str">
        <f>Backend_1!B56</f>
        <v>Equipements électriques et éclairage</v>
      </c>
      <c r="F36" s="232"/>
      <c r="G36" s="233">
        <f ca="1">Backend_1!C56</f>
        <v>0</v>
      </c>
      <c r="H36" s="234"/>
      <c r="I36" s="233" t="str">
        <f ca="1">Backend_1!D56</f>
        <v>Non appliqué</v>
      </c>
      <c r="J36" s="234"/>
    </row>
    <row r="37" spans="2:10" s="149" customFormat="1" ht="16.2" x14ac:dyDescent="0.3">
      <c r="B37" s="231"/>
      <c r="C37" s="231"/>
      <c r="D37" s="231"/>
      <c r="E37" s="231" t="str">
        <f>Backend_1!B58</f>
        <v>Services</v>
      </c>
      <c r="F37" s="232"/>
      <c r="G37" s="233">
        <f ca="1">Backend_1!C58</f>
        <v>0</v>
      </c>
      <c r="H37" s="234"/>
      <c r="I37" s="233">
        <f ca="1">Backend_1!D58</f>
        <v>0</v>
      </c>
      <c r="J37" s="234"/>
    </row>
    <row r="38" spans="2:10" s="149" customFormat="1" ht="16.2" x14ac:dyDescent="0.3">
      <c r="B38" s="245" t="str">
        <f>Backend_1!A59</f>
        <v>Salle de bain et toilettes</v>
      </c>
      <c r="C38" s="245"/>
      <c r="D38" s="245"/>
      <c r="E38" s="231" t="str">
        <f>Backend_1!B59</f>
        <v>Généralités</v>
      </c>
      <c r="F38" s="232"/>
      <c r="G38" s="233">
        <f ca="1">Backend_1!C59</f>
        <v>0</v>
      </c>
      <c r="H38" s="234"/>
      <c r="I38" s="233">
        <f ca="1">Backend_1!D59</f>
        <v>0</v>
      </c>
      <c r="J38" s="234"/>
    </row>
    <row r="39" spans="2:10" s="149" customFormat="1" ht="16.2" x14ac:dyDescent="0.3">
      <c r="B39" s="246"/>
      <c r="C39" s="246"/>
      <c r="D39" s="246"/>
      <c r="E39" s="231" t="str">
        <f>Backend_1!B60</f>
        <v>Lavabo</v>
      </c>
      <c r="F39" s="232"/>
      <c r="G39" s="233">
        <f ca="1">Backend_1!C60</f>
        <v>0</v>
      </c>
      <c r="H39" s="234"/>
      <c r="I39" s="233">
        <f ca="1">Backend_1!D60</f>
        <v>0</v>
      </c>
      <c r="J39" s="234"/>
    </row>
    <row r="40" spans="2:10" s="149" customFormat="1" ht="16.2" x14ac:dyDescent="0.3">
      <c r="B40" s="246"/>
      <c r="C40" s="246"/>
      <c r="D40" s="246"/>
      <c r="E40" s="231" t="str">
        <f>Backend_1!B61</f>
        <v>Douche</v>
      </c>
      <c r="F40" s="232"/>
      <c r="G40" s="233">
        <f ca="1">Backend_1!C61</f>
        <v>0</v>
      </c>
      <c r="H40" s="234"/>
      <c r="I40" s="233">
        <f ca="1">Backend_1!D61</f>
        <v>0</v>
      </c>
      <c r="J40" s="234"/>
    </row>
    <row r="41" spans="2:10" s="149" customFormat="1" ht="34.200000000000003" customHeight="1" x14ac:dyDescent="0.3">
      <c r="B41" s="246"/>
      <c r="C41" s="246"/>
      <c r="D41" s="246"/>
      <c r="E41" s="231" t="str">
        <f>Backend_1!B63</f>
        <v>Equipements de la salle de bain</v>
      </c>
      <c r="F41" s="232"/>
      <c r="G41" s="233">
        <f ca="1">Backend_1!C63</f>
        <v>0</v>
      </c>
      <c r="H41" s="234"/>
      <c r="I41" s="233" t="str">
        <f ca="1">Backend_1!D63</f>
        <v>Non appliqué</v>
      </c>
      <c r="J41" s="234"/>
    </row>
    <row r="42" spans="2:10" s="149" customFormat="1" ht="19.2" customHeight="1" x14ac:dyDescent="0.3">
      <c r="B42" s="246"/>
      <c r="C42" s="246"/>
      <c r="D42" s="246"/>
      <c r="E42" s="231" t="str">
        <f>Backend_1!B64</f>
        <v>Linge de la salle de bain</v>
      </c>
      <c r="F42" s="232"/>
      <c r="G42" s="233">
        <f ca="1">Backend_1!C64</f>
        <v>0</v>
      </c>
      <c r="H42" s="234"/>
      <c r="I42" s="233" t="str">
        <f ca="1">Backend_1!D64</f>
        <v>Non appliqué</v>
      </c>
      <c r="J42" s="234"/>
    </row>
    <row r="43" spans="2:10" s="149" customFormat="1" ht="16.2" x14ac:dyDescent="0.3">
      <c r="B43" s="246"/>
      <c r="C43" s="246"/>
      <c r="D43" s="246"/>
      <c r="E43" s="231" t="str">
        <f>Backend_1!B65</f>
        <v>Produits d'accueil</v>
      </c>
      <c r="F43" s="232"/>
      <c r="G43" s="233">
        <f ca="1">Backend_1!C65</f>
        <v>0</v>
      </c>
      <c r="H43" s="234"/>
      <c r="I43" s="233">
        <f ca="1">Backend_1!D65</f>
        <v>0</v>
      </c>
      <c r="J43" s="234"/>
    </row>
    <row r="44" spans="2:10" s="149" customFormat="1" ht="16.2" x14ac:dyDescent="0.3">
      <c r="B44" s="231"/>
      <c r="C44" s="231"/>
      <c r="D44" s="231"/>
      <c r="E44" s="231" t="str">
        <f>Backend_1!B66</f>
        <v>Toilettes</v>
      </c>
      <c r="F44" s="232"/>
      <c r="G44" s="233">
        <f ca="1">Backend_1!C66</f>
        <v>0</v>
      </c>
      <c r="H44" s="234"/>
      <c r="I44" s="233">
        <f ca="1">Backend_1!D66</f>
        <v>0</v>
      </c>
      <c r="J44" s="234"/>
    </row>
    <row r="45" spans="2:10" s="149" customFormat="1" ht="16.2" x14ac:dyDescent="0.3">
      <c r="B45" s="245" t="str">
        <f>Backend_1!A67</f>
        <v>Personnel</v>
      </c>
      <c r="C45" s="245"/>
      <c r="D45" s="245"/>
      <c r="E45" s="231" t="str">
        <f>Backend_1!B67</f>
        <v>Vestiaire du personnel</v>
      </c>
      <c r="F45" s="232"/>
      <c r="G45" s="233">
        <f ca="1">Backend_1!C67</f>
        <v>0</v>
      </c>
      <c r="H45" s="234"/>
      <c r="I45" s="233">
        <f ca="1">Backend_1!D67</f>
        <v>0</v>
      </c>
      <c r="J45" s="234"/>
    </row>
    <row r="46" spans="2:10" s="149" customFormat="1" ht="16.2" x14ac:dyDescent="0.3">
      <c r="B46" s="246"/>
      <c r="C46" s="246"/>
      <c r="D46" s="246"/>
      <c r="E46" s="231" t="str">
        <f>Backend_1!B68</f>
        <v>Réfectoire du personnel</v>
      </c>
      <c r="F46" s="232"/>
      <c r="G46" s="233">
        <f ca="1">Backend_1!C68</f>
        <v>0</v>
      </c>
      <c r="H46" s="234"/>
      <c r="I46" s="233" t="str">
        <f ca="1">Backend_1!D68</f>
        <v>Non appliqué</v>
      </c>
      <c r="J46" s="234"/>
    </row>
    <row r="47" spans="2:10" s="149" customFormat="1" ht="16.2" x14ac:dyDescent="0.3">
      <c r="B47" s="231"/>
      <c r="C47" s="231"/>
      <c r="D47" s="231"/>
      <c r="E47" s="231" t="str">
        <f>Backend_1!B69</f>
        <v>Formation et sensibilisation</v>
      </c>
      <c r="F47" s="232"/>
      <c r="G47" s="233" t="str">
        <f ca="1">Backend_1!C69</f>
        <v>Non appliqué</v>
      </c>
      <c r="H47" s="234"/>
      <c r="I47" s="233">
        <f ca="1">Backend_1!D69</f>
        <v>0</v>
      </c>
      <c r="J47" s="234"/>
    </row>
    <row r="48" spans="2:10" s="149" customFormat="1" ht="16.2" x14ac:dyDescent="0.3">
      <c r="B48" s="245" t="str">
        <f>Backend_1!A70</f>
        <v>Electricité, eau et assainissement</v>
      </c>
      <c r="C48" s="245"/>
      <c r="D48" s="245"/>
      <c r="E48" s="231" t="str">
        <f>Backend_1!B70</f>
        <v>Energie</v>
      </c>
      <c r="F48" s="232"/>
      <c r="G48" s="233">
        <f ca="1">Backend_1!C70</f>
        <v>0</v>
      </c>
      <c r="H48" s="234"/>
      <c r="I48" s="233">
        <f ca="1">Backend_1!D70</f>
        <v>0</v>
      </c>
      <c r="J48" s="234"/>
    </row>
    <row r="49" spans="2:10" s="149" customFormat="1" ht="16.2" x14ac:dyDescent="0.3">
      <c r="B49" s="246"/>
      <c r="C49" s="246"/>
      <c r="D49" s="246"/>
      <c r="E49" s="231" t="str">
        <f>Backend_1!B71</f>
        <v>Eau</v>
      </c>
      <c r="F49" s="232"/>
      <c r="G49" s="233">
        <f ca="1">Backend_1!C71</f>
        <v>0</v>
      </c>
      <c r="H49" s="234"/>
      <c r="I49" s="233">
        <f ca="1">Backend_1!D71</f>
        <v>0</v>
      </c>
      <c r="J49" s="234"/>
    </row>
    <row r="50" spans="2:10" s="149" customFormat="1" ht="16.2" x14ac:dyDescent="0.3">
      <c r="B50" s="231"/>
      <c r="C50" s="231"/>
      <c r="D50" s="231"/>
      <c r="E50" s="231" t="str">
        <f>Backend_1!B72</f>
        <v>Assainissement</v>
      </c>
      <c r="F50" s="232"/>
      <c r="G50" s="233">
        <f ca="1">Backend_1!C72</f>
        <v>0</v>
      </c>
      <c r="H50" s="234"/>
      <c r="I50" s="233">
        <f ca="1">Backend_1!D72</f>
        <v>0</v>
      </c>
      <c r="J50" s="234"/>
    </row>
    <row r="51" spans="2:10" s="33" customFormat="1" ht="16.8" customHeight="1" x14ac:dyDescent="0.3">
      <c r="B51" s="35"/>
      <c r="C51" s="35"/>
      <c r="D51" s="35"/>
      <c r="E51" s="35"/>
      <c r="F51" s="35"/>
      <c r="G51" s="35"/>
      <c r="H51" s="35"/>
      <c r="I51" s="35"/>
      <c r="J51" s="35"/>
    </row>
    <row r="52" spans="2:10" x14ac:dyDescent="0.3">
      <c r="B52" s="29"/>
      <c r="C52" s="29"/>
      <c r="D52" s="29"/>
      <c r="E52" s="31"/>
      <c r="F52" s="31"/>
      <c r="G52" s="31"/>
      <c r="H52" s="30"/>
      <c r="I52" s="30"/>
      <c r="J52" s="30"/>
    </row>
    <row r="53" spans="2:10" x14ac:dyDescent="0.3">
      <c r="B53" s="20"/>
      <c r="C53" s="20"/>
      <c r="D53" s="20"/>
      <c r="E53" s="20"/>
      <c r="F53" s="20"/>
      <c r="G53" s="20"/>
      <c r="H53" s="20"/>
      <c r="I53" s="20"/>
      <c r="J53" s="20"/>
    </row>
    <row r="54" spans="2:10" x14ac:dyDescent="0.3">
      <c r="B54" s="20"/>
      <c r="C54" s="20"/>
      <c r="D54" s="20"/>
      <c r="E54" s="20"/>
      <c r="F54" s="20"/>
      <c r="G54" s="20"/>
      <c r="H54" s="20"/>
      <c r="I54" s="20"/>
      <c r="J54" s="20"/>
    </row>
    <row r="55" spans="2:10" x14ac:dyDescent="0.3">
      <c r="B55" s="20"/>
      <c r="C55" s="20"/>
      <c r="D55" s="20"/>
      <c r="E55" s="20"/>
      <c r="F55" s="20"/>
      <c r="G55" s="20"/>
      <c r="H55" s="20"/>
      <c r="I55" s="20"/>
      <c r="J55" s="20"/>
    </row>
    <row r="56" spans="2:10" x14ac:dyDescent="0.3">
      <c r="B56" s="20"/>
      <c r="C56" s="20"/>
      <c r="D56" s="20"/>
      <c r="E56" s="20"/>
      <c r="F56" s="20"/>
      <c r="G56" s="20"/>
      <c r="H56" s="20"/>
      <c r="I56" s="20"/>
      <c r="J56" s="20"/>
    </row>
  </sheetData>
  <sheetProtection sheet="1" pivotTables="0"/>
  <mergeCells count="128">
    <mergeCell ref="E43:F43"/>
    <mergeCell ref="I42:J42"/>
    <mergeCell ref="I11:J11"/>
    <mergeCell ref="E12:E14"/>
    <mergeCell ref="J12:J14"/>
    <mergeCell ref="B48:D50"/>
    <mergeCell ref="E48:F48"/>
    <mergeCell ref="G48:H48"/>
    <mergeCell ref="I48:J48"/>
    <mergeCell ref="E49:F49"/>
    <mergeCell ref="G49:H49"/>
    <mergeCell ref="I49:J49"/>
    <mergeCell ref="E50:F50"/>
    <mergeCell ref="G50:H50"/>
    <mergeCell ref="I50:J50"/>
    <mergeCell ref="B45:D47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I34:J34"/>
    <mergeCell ref="E40:F40"/>
    <mergeCell ref="G40:H40"/>
    <mergeCell ref="I40:J40"/>
    <mergeCell ref="E37:F37"/>
    <mergeCell ref="G37:H37"/>
    <mergeCell ref="I37:J37"/>
    <mergeCell ref="B38:D44"/>
    <mergeCell ref="E38:F38"/>
    <mergeCell ref="G38:H38"/>
    <mergeCell ref="I38:J38"/>
    <mergeCell ref="E39:F39"/>
    <mergeCell ref="G39:H39"/>
    <mergeCell ref="I39:J39"/>
    <mergeCell ref="G43:H43"/>
    <mergeCell ref="I43:J43"/>
    <mergeCell ref="E44:F44"/>
    <mergeCell ref="G44:H44"/>
    <mergeCell ref="I44:J44"/>
    <mergeCell ref="E41:F41"/>
    <mergeCell ref="G41:H41"/>
    <mergeCell ref="I41:J41"/>
    <mergeCell ref="E42:F42"/>
    <mergeCell ref="G42:H42"/>
    <mergeCell ref="I30:J30"/>
    <mergeCell ref="E31:F31"/>
    <mergeCell ref="G31:H31"/>
    <mergeCell ref="I31:J31"/>
    <mergeCell ref="E32:F32"/>
    <mergeCell ref="G32:H32"/>
    <mergeCell ref="I32:J32"/>
    <mergeCell ref="B29:D37"/>
    <mergeCell ref="E29:F29"/>
    <mergeCell ref="G29:H29"/>
    <mergeCell ref="I29:J29"/>
    <mergeCell ref="E30:F30"/>
    <mergeCell ref="G30:H30"/>
    <mergeCell ref="E36:F36"/>
    <mergeCell ref="G36:H36"/>
    <mergeCell ref="I36:J36"/>
    <mergeCell ref="E35:F35"/>
    <mergeCell ref="G35:H35"/>
    <mergeCell ref="I35:J35"/>
    <mergeCell ref="E33:F33"/>
    <mergeCell ref="G33:H33"/>
    <mergeCell ref="I33:J33"/>
    <mergeCell ref="E34:F34"/>
    <mergeCell ref="G34:H34"/>
    <mergeCell ref="B27:D28"/>
    <mergeCell ref="E27:F27"/>
    <mergeCell ref="G27:H27"/>
    <mergeCell ref="I27:J27"/>
    <mergeCell ref="E28:F28"/>
    <mergeCell ref="G28:H28"/>
    <mergeCell ref="I28:J28"/>
    <mergeCell ref="B26:D26"/>
    <mergeCell ref="E26:F26"/>
    <mergeCell ref="G26:H26"/>
    <mergeCell ref="I26:J26"/>
    <mergeCell ref="B23:D25"/>
    <mergeCell ref="E23:F23"/>
    <mergeCell ref="G23:H23"/>
    <mergeCell ref="I23:J23"/>
    <mergeCell ref="E24:F24"/>
    <mergeCell ref="G24:H24"/>
    <mergeCell ref="I24:J24"/>
    <mergeCell ref="E25:F25"/>
    <mergeCell ref="G25:H25"/>
    <mergeCell ref="I25:J25"/>
    <mergeCell ref="I21:J21"/>
    <mergeCell ref="E22:F22"/>
    <mergeCell ref="G22:H22"/>
    <mergeCell ref="I22:J22"/>
    <mergeCell ref="I18:J18"/>
    <mergeCell ref="B19:D22"/>
    <mergeCell ref="E19:F19"/>
    <mergeCell ref="G19:H19"/>
    <mergeCell ref="I19:J19"/>
    <mergeCell ref="E20:F20"/>
    <mergeCell ref="G20:H20"/>
    <mergeCell ref="I20:J20"/>
    <mergeCell ref="E21:F21"/>
    <mergeCell ref="G21:H21"/>
    <mergeCell ref="I17:J17"/>
    <mergeCell ref="B18:D18"/>
    <mergeCell ref="E18:F18"/>
    <mergeCell ref="G18:H18"/>
    <mergeCell ref="B16:D16"/>
    <mergeCell ref="E16:F16"/>
    <mergeCell ref="G16:H16"/>
    <mergeCell ref="I16:J16"/>
    <mergeCell ref="B17:D17"/>
    <mergeCell ref="E17:F17"/>
    <mergeCell ref="G17:H17"/>
    <mergeCell ref="E3:J5"/>
    <mergeCell ref="B15:D15"/>
    <mergeCell ref="E15:F15"/>
    <mergeCell ref="G15:H15"/>
    <mergeCell ref="I15:J15"/>
    <mergeCell ref="G9:H10"/>
    <mergeCell ref="B10:D10"/>
    <mergeCell ref="E11:F11"/>
    <mergeCell ref="G11:H11"/>
  </mergeCells>
  <pageMargins left="0.7" right="0.7" top="0.75" bottom="0.75" header="0.3" footer="0.3"/>
  <pageSetup paperSize="9" scale="69" orientation="portrait" horizontalDpi="360" verticalDpi="360" r:id="rId1"/>
  <rowBreaks count="1" manualBreakCount="1">
    <brk id="28" max="10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7C63-37E3-4641-98C4-015640D49D98}">
  <dimension ref="A1:G496"/>
  <sheetViews>
    <sheetView zoomScale="126" zoomScaleNormal="70" workbookViewId="0">
      <selection sqref="A1:C20"/>
    </sheetView>
  </sheetViews>
  <sheetFormatPr baseColWidth="10" defaultColWidth="11.33203125" defaultRowHeight="14.4" x14ac:dyDescent="0.3"/>
  <cols>
    <col min="1" max="1" width="22.109375" style="119" bestFit="1" customWidth="1"/>
    <col min="2" max="3" width="22.109375" customWidth="1"/>
    <col min="5" max="5" width="21.109375" bestFit="1" customWidth="1"/>
    <col min="6" max="7" width="17.33203125" bestFit="1" customWidth="1"/>
  </cols>
  <sheetData>
    <row r="1" spans="1:7" ht="32.4" x14ac:dyDescent="0.3">
      <c r="A1" s="120" t="s">
        <v>616</v>
      </c>
      <c r="B1" s="121" t="s">
        <v>803</v>
      </c>
      <c r="C1" s="121" t="s">
        <v>804</v>
      </c>
      <c r="E1" s="120"/>
      <c r="F1" s="121"/>
      <c r="G1" s="121"/>
    </row>
    <row r="2" spans="1:7" ht="32.4" x14ac:dyDescent="0.3">
      <c r="A2" s="122" t="s">
        <v>646</v>
      </c>
      <c r="B2" s="123" t="str" cm="1">
        <f t="array" aca="1" ref="B2" ca="1">_xlfn.XLOOKUP(A2,INDIRECT(Backend_1!$O$3&amp;"!"&amp;"a:a"),INDIRECT(Backend_1!$O$3 &amp;"!"&amp;"o:o"))</f>
        <v>Non appliqué</v>
      </c>
      <c r="C2" s="123" cm="1">
        <f t="array" aca="1" ref="C2" ca="1">_xlfn.XLOOKUP(A2,INDIRECT(Backend_1!$O$3&amp;"!"&amp;"a:a"),INDIRECT(Backend_1!$O$3 &amp;"!"&amp;"q:q"))</f>
        <v>0</v>
      </c>
      <c r="E2" s="122"/>
      <c r="F2" s="123"/>
      <c r="G2" s="123"/>
    </row>
    <row r="3" spans="1:7" ht="16.2" x14ac:dyDescent="0.3">
      <c r="A3" s="122" t="s">
        <v>653</v>
      </c>
      <c r="B3" s="123" cm="1">
        <f t="array" aca="1" ref="B3" ca="1">_xlfn.XLOOKUP(A3,INDIRECT(Backend_1!$O$3&amp;"!"&amp;"a:a"),INDIRECT(Backend_1!$O$3 &amp;"!"&amp;"o:o"))</f>
        <v>0</v>
      </c>
      <c r="C3" s="123" t="str" cm="1">
        <f t="array" aca="1" ref="C3" ca="1">_xlfn.XLOOKUP(A3,INDIRECT(Backend_1!$O$3&amp;"!"&amp;"a:a"),INDIRECT(Backend_1!$O$3 &amp;"!"&amp;"q:q"))</f>
        <v>Non appliqué</v>
      </c>
      <c r="E3" s="122"/>
      <c r="F3" s="123"/>
      <c r="G3" s="123"/>
    </row>
    <row r="4" spans="1:7" ht="16.2" x14ac:dyDescent="0.3">
      <c r="A4" s="122" t="s">
        <v>659</v>
      </c>
      <c r="B4" s="123" cm="1">
        <f t="array" aca="1" ref="B4" ca="1">_xlfn.XLOOKUP(A4,INDIRECT(Backend_1!$O$3&amp;"!"&amp;"a:a"),INDIRECT(Backend_1!$O$3 &amp;"!"&amp;"o:o"))</f>
        <v>0</v>
      </c>
      <c r="C4" s="123" cm="1">
        <f t="array" aca="1" ref="C4" ca="1">_xlfn.XLOOKUP(A4,INDIRECT(Backend_1!$O$3&amp;"!"&amp;"a:a"),INDIRECT(Backend_1!$O$3 &amp;"!"&amp;"q:q"))</f>
        <v>0</v>
      </c>
      <c r="E4" s="122"/>
      <c r="F4" s="123"/>
      <c r="G4" s="123"/>
    </row>
    <row r="5" spans="1:7" ht="16.2" x14ac:dyDescent="0.3">
      <c r="A5" s="122" t="s">
        <v>669</v>
      </c>
      <c r="B5" s="123" cm="1">
        <f t="array" aca="1" ref="B5" ca="1">_xlfn.XLOOKUP(A5,INDIRECT(Backend_1!$O$3&amp;"!"&amp;"a:a"),INDIRECT(Backend_1!$O$3 &amp;"!"&amp;"o:o"))</f>
        <v>0</v>
      </c>
      <c r="C5" s="123" cm="1">
        <f t="array" aca="1" ref="C5" ca="1">_xlfn.XLOOKUP(A5,INDIRECT(Backend_1!$O$3&amp;"!"&amp;"a:a"),INDIRECT(Backend_1!$O$3 &amp;"!"&amp;"q:q"))</f>
        <v>0</v>
      </c>
      <c r="E5" s="122"/>
      <c r="F5" s="123"/>
      <c r="G5" s="123"/>
    </row>
    <row r="6" spans="1:7" ht="16.2" x14ac:dyDescent="0.3">
      <c r="A6" s="122" t="s">
        <v>676</v>
      </c>
      <c r="B6" s="123" cm="1">
        <f t="array" aca="1" ref="B6" ca="1">_xlfn.XLOOKUP(A6,INDIRECT(Backend_1!$O$3&amp;"!"&amp;"a:a"),INDIRECT(Backend_1!$O$3 &amp;"!"&amp;"o:o"))</f>
        <v>0</v>
      </c>
      <c r="C6" s="123" cm="1">
        <f t="array" aca="1" ref="C6" ca="1">_xlfn.XLOOKUP(A6,INDIRECT(Backend_1!$O$3&amp;"!"&amp;"a:a"),INDIRECT(Backend_1!$O$3 &amp;"!"&amp;"q:q"))</f>
        <v>0</v>
      </c>
      <c r="E6" s="122"/>
      <c r="F6" s="123"/>
      <c r="G6" s="123"/>
    </row>
    <row r="7" spans="1:7" ht="16.2" x14ac:dyDescent="0.3">
      <c r="A7" s="122" t="s">
        <v>680</v>
      </c>
      <c r="B7" s="123" t="str" cm="1">
        <f t="array" aca="1" ref="B7" ca="1">_xlfn.XLOOKUP(A7,INDIRECT(Backend_1!$O$3&amp;"!"&amp;"a:a"),INDIRECT(Backend_1!$O$3 &amp;"!"&amp;"o:o"))</f>
        <v>Non appliqué</v>
      </c>
      <c r="C7" s="123" cm="1">
        <f t="array" aca="1" ref="C7" ca="1">_xlfn.XLOOKUP(A7,INDIRECT(Backend_1!$O$3&amp;"!"&amp;"a:a"),INDIRECT(Backend_1!$O$3 &amp;"!"&amp;"q:q"))</f>
        <v>0</v>
      </c>
      <c r="E7" s="122"/>
      <c r="F7" s="123"/>
      <c r="G7" s="123"/>
    </row>
    <row r="8" spans="1:7" ht="16.2" x14ac:dyDescent="0.3">
      <c r="A8" s="122" t="s">
        <v>686</v>
      </c>
      <c r="B8" s="123" t="str" cm="1">
        <f t="array" aca="1" ref="B8" ca="1">_xlfn.XLOOKUP(A8,INDIRECT(Backend_1!$O$3&amp;"!"&amp;"a:a"),INDIRECT(Backend_1!$O$3 &amp;"!"&amp;"o:o"))</f>
        <v>Non appliqué</v>
      </c>
      <c r="C8" s="123" t="str" cm="1">
        <f t="array" aca="1" ref="C8" ca="1">_xlfn.XLOOKUP(A8,INDIRECT(Backend_1!$O$3&amp;"!"&amp;"a:a"),INDIRECT(Backend_1!$O$3 &amp;"!"&amp;"q:q"))</f>
        <v>Non appliqué</v>
      </c>
      <c r="E8" s="122"/>
      <c r="F8" s="123"/>
      <c r="G8" s="123"/>
    </row>
    <row r="9" spans="1:7" ht="32.4" x14ac:dyDescent="0.3">
      <c r="A9" s="122" t="s">
        <v>692</v>
      </c>
      <c r="B9" s="123" t="str" cm="1">
        <f t="array" aca="1" ref="B9" ca="1">_xlfn.XLOOKUP(A9,INDIRECT(Backend_1!$O$3&amp;"!"&amp;"a:a"),INDIRECT(Backend_1!$O$3 &amp;"!"&amp;"o:o"))</f>
        <v>Non appliqué</v>
      </c>
      <c r="C9" s="123" t="str" cm="1">
        <f t="array" aca="1" ref="C9" ca="1">_xlfn.XLOOKUP(A9,INDIRECT(Backend_1!$O$3&amp;"!"&amp;"a:a"),INDIRECT(Backend_1!$O$3 &amp;"!"&amp;"q:q"))</f>
        <v>Non appliqué</v>
      </c>
      <c r="E9" s="122"/>
      <c r="F9" s="123"/>
      <c r="G9" s="123"/>
    </row>
    <row r="10" spans="1:7" ht="16.2" x14ac:dyDescent="0.3">
      <c r="A10" s="122" t="s">
        <v>694</v>
      </c>
      <c r="B10" s="123" t="str" cm="1">
        <f t="array" aca="1" ref="B10" ca="1">_xlfn.XLOOKUP(A10,INDIRECT(Backend_1!$O$3&amp;"!"&amp;"a:a"),INDIRECT(Backend_1!$O$3 &amp;"!"&amp;"o:o"))</f>
        <v>Non appliqué</v>
      </c>
      <c r="C10" s="123" t="str" cm="1">
        <f t="array" aca="1" ref="C10" ca="1">_xlfn.XLOOKUP(A10,INDIRECT(Backend_1!$O$3&amp;"!"&amp;"a:a"),INDIRECT(Backend_1!$O$3 &amp;"!"&amp;"q:q"))</f>
        <v>Non appliqué</v>
      </c>
      <c r="E10" s="122"/>
      <c r="F10" s="123"/>
      <c r="G10" s="123"/>
    </row>
    <row r="11" spans="1:7" ht="64.8" hidden="1" x14ac:dyDescent="0.3">
      <c r="A11" s="122" t="s">
        <v>699</v>
      </c>
      <c r="B11" s="123" t="str" cm="1">
        <f t="array" aca="1" ref="B11" ca="1">_xlfn.XLOOKUP(A11,INDIRECT(Backend_1!$O$3&amp;"!"&amp;"a:a"),INDIRECT(Backend_1!$O$3 &amp;"!"&amp;"o:o"))</f>
        <v>Non appliqué</v>
      </c>
      <c r="C11" s="123" t="str" cm="1">
        <f t="array" aca="1" ref="C11" ca="1">_xlfn.XLOOKUP(A11,INDIRECT(Backend_1!$O$3&amp;"!"&amp;"a:a"),INDIRECT(Backend_1!$O$3 &amp;"!"&amp;"q:q"))</f>
        <v>Non appliqué</v>
      </c>
      <c r="E11" s="122"/>
      <c r="F11" s="123"/>
      <c r="G11" s="123"/>
    </row>
    <row r="12" spans="1:7" ht="16.2" x14ac:dyDescent="0.3">
      <c r="A12" s="122" t="s">
        <v>704</v>
      </c>
      <c r="B12" s="123" t="str" cm="1">
        <f t="array" aca="1" ref="B12" ca="1">_xlfn.XLOOKUP(A12,INDIRECT(Backend_1!$O$3&amp;"!"&amp;"a:a"),INDIRECT(Backend_1!$O$3 &amp;"!"&amp;"o:o"))</f>
        <v>Non appliqué</v>
      </c>
      <c r="C12" s="123" t="str" cm="1">
        <f t="array" aca="1" ref="C12" ca="1">_xlfn.XLOOKUP(A12,INDIRECT(Backend_1!$O$3&amp;"!"&amp;"a:a"),INDIRECT(Backend_1!$O$3 &amp;"!"&amp;"q:q"))</f>
        <v>Non appliqué</v>
      </c>
      <c r="E12" s="122"/>
      <c r="F12" s="123"/>
      <c r="G12" s="123"/>
    </row>
    <row r="13" spans="1:7" ht="16.2" hidden="1" x14ac:dyDescent="0.3">
      <c r="A13" s="122" t="s">
        <v>21</v>
      </c>
      <c r="B13" s="123" t="str" cm="1">
        <f t="array" aca="1" ref="B13" ca="1">_xlfn.XLOOKUP(A13,INDIRECT(Backend_1!$O$3&amp;"!"&amp;"a:a"),INDIRECT(Backend_1!$O$3 &amp;"!"&amp;"o:o"))</f>
        <v>Non appliqué</v>
      </c>
      <c r="C13" s="123" t="str" cm="1">
        <f t="array" aca="1" ref="C13" ca="1">_xlfn.XLOOKUP(A13,INDIRECT(Backend_1!$O$3&amp;"!"&amp;"a:a"),INDIRECT(Backend_1!$O$3 &amp;"!"&amp;"q:q"))</f>
        <v>Non appliqué</v>
      </c>
      <c r="E13" s="122"/>
      <c r="F13" s="123"/>
      <c r="G13" s="123"/>
    </row>
    <row r="14" spans="1:7" ht="16.2" hidden="1" x14ac:dyDescent="0.3">
      <c r="A14" s="122" t="s">
        <v>729</v>
      </c>
      <c r="B14" s="123" t="str" cm="1">
        <f t="array" aca="1" ref="B14" ca="1">_xlfn.XLOOKUP(A14,INDIRECT(Backend_1!$O$3&amp;"!"&amp;"a:a"),INDIRECT(Backend_1!$O$3 &amp;"!"&amp;"o:o"))</f>
        <v>Non appliqué</v>
      </c>
      <c r="C14" s="123" t="str" cm="1">
        <f t="array" aca="1" ref="C14" ca="1">_xlfn.XLOOKUP(A14,INDIRECT(Backend_1!$O$3&amp;"!"&amp;"a:a"),INDIRECT(Backend_1!$O$3 &amp;"!"&amp;"q:q"))</f>
        <v>Non appliqué</v>
      </c>
      <c r="E14" s="122"/>
      <c r="F14" s="123"/>
      <c r="G14" s="123"/>
    </row>
    <row r="15" spans="1:7" ht="16.2" hidden="1" x14ac:dyDescent="0.3">
      <c r="A15" s="122" t="s">
        <v>731</v>
      </c>
      <c r="B15" s="123" t="str" cm="1">
        <f t="array" aca="1" ref="B15" ca="1">_xlfn.XLOOKUP(A15,INDIRECT(Backend_1!$O$3&amp;"!"&amp;"a:a"),INDIRECT(Backend_1!$O$3 &amp;"!"&amp;"o:o"))</f>
        <v>Non appliqué</v>
      </c>
      <c r="C15" s="123" t="str" cm="1">
        <f t="array" aca="1" ref="C15" ca="1">_xlfn.XLOOKUP(A15,INDIRECT(Backend_1!$O$3&amp;"!"&amp;"a:a"),INDIRECT(Backend_1!$O$3 &amp;"!"&amp;"q:q"))</f>
        <v>Non appliqué</v>
      </c>
      <c r="E15" s="122"/>
      <c r="F15" s="123"/>
      <c r="G15" s="123"/>
    </row>
    <row r="16" spans="1:7" ht="16.2" hidden="1" x14ac:dyDescent="0.3">
      <c r="A16" s="122" t="s">
        <v>738</v>
      </c>
      <c r="B16" s="123" t="str" cm="1">
        <f t="array" aca="1" ref="B16" ca="1">_xlfn.XLOOKUP(A16,INDIRECT(Backend_1!$O$3&amp;"!"&amp;"a:a"),INDIRECT(Backend_1!$O$3 &amp;"!"&amp;"o:o"))</f>
        <v>Non appliqué</v>
      </c>
      <c r="C16" s="123" t="str" cm="1">
        <f t="array" aca="1" ref="C16" ca="1">_xlfn.XLOOKUP(A16,INDIRECT(Backend_1!$O$3&amp;"!"&amp;"a:a"),INDIRECT(Backend_1!$O$3 &amp;"!"&amp;"q:q"))</f>
        <v>Non appliqué</v>
      </c>
      <c r="E16" s="122"/>
      <c r="F16" s="123"/>
      <c r="G16" s="123"/>
    </row>
    <row r="17" spans="1:7" ht="16.2" x14ac:dyDescent="0.3">
      <c r="A17" s="122" t="s">
        <v>739</v>
      </c>
      <c r="B17" s="123" cm="1">
        <f t="array" aca="1" ref="B17" ca="1">_xlfn.XLOOKUP(A17,INDIRECT(Backend_1!$O$3&amp;"!"&amp;"a:a"),INDIRECT(Backend_1!$O$3 &amp;"!"&amp;"o:o"))</f>
        <v>0</v>
      </c>
      <c r="C17" s="123" cm="1">
        <f t="array" aca="1" ref="C17" ca="1">_xlfn.XLOOKUP(A17,INDIRECT(Backend_1!$O$3&amp;"!"&amp;"a:a"),INDIRECT(Backend_1!$O$3 &amp;"!"&amp;"q:q"))</f>
        <v>0</v>
      </c>
      <c r="E17" s="122"/>
      <c r="F17" s="123"/>
      <c r="G17" s="123"/>
    </row>
    <row r="18" spans="1:7" ht="32.4" x14ac:dyDescent="0.3">
      <c r="A18" s="122" t="s">
        <v>757</v>
      </c>
      <c r="B18" s="123" cm="1">
        <f t="array" aca="1" ref="B18" ca="1">_xlfn.XLOOKUP(A18,INDIRECT(Backend_1!$O$3&amp;"!"&amp;"a:a"),INDIRECT(Backend_1!$O$3 &amp;"!"&amp;"o:o"))</f>
        <v>0</v>
      </c>
      <c r="C18" s="123" cm="1">
        <f t="array" aca="1" ref="C18" ca="1">_xlfn.XLOOKUP(A18,INDIRECT(Backend_1!$O$3&amp;"!"&amp;"a:a"),INDIRECT(Backend_1!$O$3 &amp;"!"&amp;"q:q"))</f>
        <v>0</v>
      </c>
      <c r="E18" s="122"/>
      <c r="F18" s="123"/>
      <c r="G18" s="123"/>
    </row>
    <row r="19" spans="1:7" ht="16.2" x14ac:dyDescent="0.3">
      <c r="A19" s="122" t="s">
        <v>767</v>
      </c>
      <c r="B19" s="123" cm="1">
        <f t="array" aca="1" ref="B19" ca="1">_xlfn.XLOOKUP(A19,INDIRECT(Backend_1!$O$3&amp;"!"&amp;"a:a"),INDIRECT(Backend_1!$O$3 &amp;"!"&amp;"o:o"))</f>
        <v>0</v>
      </c>
      <c r="C19" s="123" cm="1">
        <f t="array" aca="1" ref="C19" ca="1">_xlfn.XLOOKUP(A19,INDIRECT(Backend_1!$O$3&amp;"!"&amp;"a:a"),INDIRECT(Backend_1!$O$3 &amp;"!"&amp;"q:q"))</f>
        <v>0</v>
      </c>
      <c r="E19" s="122"/>
      <c r="F19" s="123"/>
      <c r="G19" s="123"/>
    </row>
    <row r="20" spans="1:7" ht="32.4" x14ac:dyDescent="0.3">
      <c r="A20" s="122" t="s">
        <v>773</v>
      </c>
      <c r="B20" s="123" cm="1">
        <f t="array" aca="1" ref="B20" ca="1">_xlfn.XLOOKUP(A20,INDIRECT(Backend_1!$O$3&amp;"!"&amp;"a:a"),INDIRECT(Backend_1!$O$3 &amp;"!"&amp;"o:o"))</f>
        <v>0</v>
      </c>
      <c r="C20" s="123" cm="1">
        <f t="array" aca="1" ref="C20" ca="1">_xlfn.XLOOKUP(A20,INDIRECT(Backend_1!$O$3&amp;"!"&amp;"a:a"),INDIRECT(Backend_1!$O$3 &amp;"!"&amp;"q:q"))</f>
        <v>0</v>
      </c>
      <c r="E20" s="122"/>
      <c r="F20" s="123"/>
      <c r="G20" s="123"/>
    </row>
    <row r="21" spans="1:7" x14ac:dyDescent="0.3">
      <c r="A21" s="118"/>
    </row>
    <row r="22" spans="1:7" x14ac:dyDescent="0.3">
      <c r="A22"/>
    </row>
    <row r="23" spans="1:7" x14ac:dyDescent="0.3">
      <c r="A23"/>
    </row>
    <row r="24" spans="1:7" x14ac:dyDescent="0.3">
      <c r="A24"/>
    </row>
    <row r="25" spans="1:7" x14ac:dyDescent="0.3">
      <c r="A25"/>
    </row>
    <row r="26" spans="1:7" x14ac:dyDescent="0.3">
      <c r="A26"/>
    </row>
    <row r="27" spans="1:7" x14ac:dyDescent="0.3">
      <c r="A27"/>
    </row>
    <row r="28" spans="1:7" x14ac:dyDescent="0.3">
      <c r="A28"/>
    </row>
    <row r="29" spans="1:7" x14ac:dyDescent="0.3">
      <c r="A29"/>
    </row>
    <row r="30" spans="1:7" x14ac:dyDescent="0.3">
      <c r="A30"/>
    </row>
    <row r="31" spans="1:7" x14ac:dyDescent="0.3">
      <c r="A31"/>
    </row>
    <row r="32" spans="1:7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  <row r="200" spans="1:1" x14ac:dyDescent="0.3">
      <c r="A200"/>
    </row>
    <row r="201" spans="1:1" x14ac:dyDescent="0.3">
      <c r="A201"/>
    </row>
    <row r="202" spans="1:1" x14ac:dyDescent="0.3">
      <c r="A202"/>
    </row>
    <row r="203" spans="1:1" x14ac:dyDescent="0.3">
      <c r="A203"/>
    </row>
    <row r="204" spans="1:1" x14ac:dyDescent="0.3">
      <c r="A204"/>
    </row>
    <row r="205" spans="1:1" x14ac:dyDescent="0.3">
      <c r="A205"/>
    </row>
    <row r="206" spans="1:1" x14ac:dyDescent="0.3">
      <c r="A206"/>
    </row>
    <row r="207" spans="1:1" x14ac:dyDescent="0.3">
      <c r="A207"/>
    </row>
    <row r="208" spans="1:1" x14ac:dyDescent="0.3">
      <c r="A208"/>
    </row>
    <row r="209" spans="1:1" x14ac:dyDescent="0.3">
      <c r="A209"/>
    </row>
    <row r="210" spans="1:1" x14ac:dyDescent="0.3">
      <c r="A210"/>
    </row>
    <row r="211" spans="1:1" x14ac:dyDescent="0.3">
      <c r="A211"/>
    </row>
    <row r="212" spans="1:1" x14ac:dyDescent="0.3">
      <c r="A212"/>
    </row>
    <row r="213" spans="1:1" x14ac:dyDescent="0.3">
      <c r="A213"/>
    </row>
    <row r="214" spans="1:1" x14ac:dyDescent="0.3">
      <c r="A214"/>
    </row>
    <row r="215" spans="1:1" x14ac:dyDescent="0.3">
      <c r="A215"/>
    </row>
    <row r="216" spans="1:1" x14ac:dyDescent="0.3">
      <c r="A216"/>
    </row>
    <row r="217" spans="1:1" x14ac:dyDescent="0.3">
      <c r="A217"/>
    </row>
    <row r="218" spans="1:1" x14ac:dyDescent="0.3">
      <c r="A218"/>
    </row>
    <row r="219" spans="1:1" x14ac:dyDescent="0.3">
      <c r="A219"/>
    </row>
    <row r="220" spans="1:1" x14ac:dyDescent="0.3">
      <c r="A220"/>
    </row>
    <row r="221" spans="1:1" x14ac:dyDescent="0.3">
      <c r="A221"/>
    </row>
    <row r="222" spans="1:1" x14ac:dyDescent="0.3">
      <c r="A222"/>
    </row>
    <row r="223" spans="1:1" x14ac:dyDescent="0.3">
      <c r="A223"/>
    </row>
    <row r="224" spans="1:1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  <row r="237" spans="1:1" x14ac:dyDescent="0.3">
      <c r="A237"/>
    </row>
    <row r="238" spans="1:1" x14ac:dyDescent="0.3">
      <c r="A238"/>
    </row>
    <row r="239" spans="1:1" x14ac:dyDescent="0.3">
      <c r="A239"/>
    </row>
    <row r="240" spans="1:1" x14ac:dyDescent="0.3">
      <c r="A240"/>
    </row>
    <row r="241" spans="1:1" x14ac:dyDescent="0.3">
      <c r="A241"/>
    </row>
    <row r="242" spans="1:1" x14ac:dyDescent="0.3">
      <c r="A242"/>
    </row>
    <row r="243" spans="1:1" x14ac:dyDescent="0.3">
      <c r="A243"/>
    </row>
    <row r="244" spans="1:1" x14ac:dyDescent="0.3">
      <c r="A244"/>
    </row>
    <row r="245" spans="1:1" x14ac:dyDescent="0.3">
      <c r="A245"/>
    </row>
    <row r="246" spans="1:1" x14ac:dyDescent="0.3">
      <c r="A246"/>
    </row>
    <row r="247" spans="1:1" x14ac:dyDescent="0.3">
      <c r="A247"/>
    </row>
    <row r="248" spans="1:1" x14ac:dyDescent="0.3">
      <c r="A248"/>
    </row>
    <row r="249" spans="1:1" x14ac:dyDescent="0.3">
      <c r="A249"/>
    </row>
    <row r="250" spans="1:1" x14ac:dyDescent="0.3">
      <c r="A250"/>
    </row>
    <row r="251" spans="1:1" x14ac:dyDescent="0.3">
      <c r="A251"/>
    </row>
    <row r="252" spans="1:1" x14ac:dyDescent="0.3">
      <c r="A252"/>
    </row>
    <row r="253" spans="1:1" x14ac:dyDescent="0.3">
      <c r="A253"/>
    </row>
    <row r="254" spans="1:1" x14ac:dyDescent="0.3">
      <c r="A254"/>
    </row>
    <row r="255" spans="1:1" x14ac:dyDescent="0.3">
      <c r="A255"/>
    </row>
    <row r="256" spans="1:1" x14ac:dyDescent="0.3">
      <c r="A256"/>
    </row>
    <row r="257" spans="1:1" x14ac:dyDescent="0.3">
      <c r="A257"/>
    </row>
    <row r="258" spans="1:1" x14ac:dyDescent="0.3">
      <c r="A258"/>
    </row>
    <row r="259" spans="1:1" x14ac:dyDescent="0.3">
      <c r="A259"/>
    </row>
    <row r="260" spans="1:1" x14ac:dyDescent="0.3">
      <c r="A260"/>
    </row>
    <row r="261" spans="1:1" x14ac:dyDescent="0.3">
      <c r="A261"/>
    </row>
    <row r="262" spans="1:1" x14ac:dyDescent="0.3">
      <c r="A262"/>
    </row>
    <row r="263" spans="1:1" x14ac:dyDescent="0.3">
      <c r="A263"/>
    </row>
    <row r="264" spans="1:1" x14ac:dyDescent="0.3">
      <c r="A264"/>
    </row>
    <row r="265" spans="1:1" x14ac:dyDescent="0.3">
      <c r="A265"/>
    </row>
    <row r="266" spans="1:1" x14ac:dyDescent="0.3">
      <c r="A266"/>
    </row>
    <row r="267" spans="1:1" x14ac:dyDescent="0.3">
      <c r="A267"/>
    </row>
    <row r="268" spans="1:1" x14ac:dyDescent="0.3">
      <c r="A268"/>
    </row>
    <row r="269" spans="1:1" x14ac:dyDescent="0.3">
      <c r="A269"/>
    </row>
    <row r="270" spans="1:1" x14ac:dyDescent="0.3">
      <c r="A270"/>
    </row>
    <row r="271" spans="1:1" x14ac:dyDescent="0.3">
      <c r="A271"/>
    </row>
    <row r="272" spans="1:1" x14ac:dyDescent="0.3">
      <c r="A272"/>
    </row>
    <row r="273" spans="1:1" x14ac:dyDescent="0.3">
      <c r="A273"/>
    </row>
    <row r="274" spans="1:1" x14ac:dyDescent="0.3">
      <c r="A274"/>
    </row>
    <row r="275" spans="1:1" x14ac:dyDescent="0.3">
      <c r="A275"/>
    </row>
    <row r="276" spans="1:1" x14ac:dyDescent="0.3">
      <c r="A276"/>
    </row>
    <row r="277" spans="1:1" x14ac:dyDescent="0.3">
      <c r="A277"/>
    </row>
    <row r="278" spans="1:1" x14ac:dyDescent="0.3">
      <c r="A278"/>
    </row>
    <row r="279" spans="1:1" x14ac:dyDescent="0.3">
      <c r="A279"/>
    </row>
    <row r="280" spans="1:1" x14ac:dyDescent="0.3">
      <c r="A280"/>
    </row>
    <row r="281" spans="1:1" x14ac:dyDescent="0.3">
      <c r="A281"/>
    </row>
    <row r="282" spans="1:1" x14ac:dyDescent="0.3">
      <c r="A282"/>
    </row>
    <row r="283" spans="1:1" x14ac:dyDescent="0.3">
      <c r="A283"/>
    </row>
    <row r="284" spans="1:1" x14ac:dyDescent="0.3">
      <c r="A284"/>
    </row>
    <row r="285" spans="1:1" x14ac:dyDescent="0.3">
      <c r="A285"/>
    </row>
    <row r="286" spans="1:1" x14ac:dyDescent="0.3">
      <c r="A286"/>
    </row>
    <row r="287" spans="1:1" x14ac:dyDescent="0.3">
      <c r="A287"/>
    </row>
    <row r="288" spans="1:1" x14ac:dyDescent="0.3">
      <c r="A288"/>
    </row>
    <row r="289" spans="1:1" x14ac:dyDescent="0.3">
      <c r="A289"/>
    </row>
    <row r="290" spans="1:1" x14ac:dyDescent="0.3">
      <c r="A290"/>
    </row>
    <row r="291" spans="1:1" x14ac:dyDescent="0.3">
      <c r="A291"/>
    </row>
    <row r="292" spans="1:1" x14ac:dyDescent="0.3">
      <c r="A292"/>
    </row>
    <row r="293" spans="1:1" x14ac:dyDescent="0.3">
      <c r="A293"/>
    </row>
    <row r="294" spans="1:1" x14ac:dyDescent="0.3">
      <c r="A294"/>
    </row>
    <row r="295" spans="1:1" x14ac:dyDescent="0.3">
      <c r="A295"/>
    </row>
    <row r="296" spans="1:1" x14ac:dyDescent="0.3">
      <c r="A296"/>
    </row>
    <row r="297" spans="1:1" x14ac:dyDescent="0.3">
      <c r="A297"/>
    </row>
    <row r="298" spans="1:1" x14ac:dyDescent="0.3">
      <c r="A298"/>
    </row>
    <row r="299" spans="1:1" x14ac:dyDescent="0.3">
      <c r="A299"/>
    </row>
    <row r="300" spans="1:1" x14ac:dyDescent="0.3">
      <c r="A300"/>
    </row>
    <row r="301" spans="1:1" x14ac:dyDescent="0.3">
      <c r="A301"/>
    </row>
    <row r="302" spans="1:1" x14ac:dyDescent="0.3">
      <c r="A302"/>
    </row>
    <row r="303" spans="1:1" x14ac:dyDescent="0.3">
      <c r="A303"/>
    </row>
    <row r="304" spans="1:1" x14ac:dyDescent="0.3">
      <c r="A304"/>
    </row>
    <row r="305" spans="1:1" x14ac:dyDescent="0.3">
      <c r="A305"/>
    </row>
    <row r="306" spans="1:1" x14ac:dyDescent="0.3">
      <c r="A306"/>
    </row>
    <row r="307" spans="1:1" x14ac:dyDescent="0.3">
      <c r="A307"/>
    </row>
    <row r="308" spans="1:1" x14ac:dyDescent="0.3">
      <c r="A308"/>
    </row>
    <row r="309" spans="1:1" x14ac:dyDescent="0.3">
      <c r="A309"/>
    </row>
    <row r="310" spans="1:1" x14ac:dyDescent="0.3">
      <c r="A310"/>
    </row>
    <row r="311" spans="1:1" x14ac:dyDescent="0.3">
      <c r="A311"/>
    </row>
    <row r="312" spans="1:1" x14ac:dyDescent="0.3">
      <c r="A312"/>
    </row>
    <row r="313" spans="1:1" x14ac:dyDescent="0.3">
      <c r="A313"/>
    </row>
    <row r="314" spans="1:1" x14ac:dyDescent="0.3">
      <c r="A314"/>
    </row>
    <row r="315" spans="1:1" x14ac:dyDescent="0.3">
      <c r="A315"/>
    </row>
    <row r="316" spans="1:1" x14ac:dyDescent="0.3">
      <c r="A316"/>
    </row>
    <row r="317" spans="1:1" x14ac:dyDescent="0.3">
      <c r="A317"/>
    </row>
    <row r="318" spans="1:1" x14ac:dyDescent="0.3">
      <c r="A318"/>
    </row>
    <row r="319" spans="1:1" x14ac:dyDescent="0.3">
      <c r="A319"/>
    </row>
    <row r="320" spans="1:1" x14ac:dyDescent="0.3">
      <c r="A320"/>
    </row>
    <row r="321" spans="1:1" x14ac:dyDescent="0.3">
      <c r="A321"/>
    </row>
    <row r="322" spans="1:1" x14ac:dyDescent="0.3">
      <c r="A322"/>
    </row>
    <row r="323" spans="1:1" x14ac:dyDescent="0.3">
      <c r="A323"/>
    </row>
    <row r="324" spans="1:1" x14ac:dyDescent="0.3">
      <c r="A324"/>
    </row>
    <row r="325" spans="1:1" x14ac:dyDescent="0.3">
      <c r="A325"/>
    </row>
    <row r="326" spans="1:1" x14ac:dyDescent="0.3">
      <c r="A326"/>
    </row>
    <row r="327" spans="1:1" x14ac:dyDescent="0.3">
      <c r="A327"/>
    </row>
    <row r="328" spans="1:1" x14ac:dyDescent="0.3">
      <c r="A328"/>
    </row>
    <row r="329" spans="1:1" x14ac:dyDescent="0.3">
      <c r="A329"/>
    </row>
    <row r="330" spans="1:1" x14ac:dyDescent="0.3">
      <c r="A330"/>
    </row>
    <row r="331" spans="1:1" x14ac:dyDescent="0.3">
      <c r="A331"/>
    </row>
    <row r="332" spans="1:1" x14ac:dyDescent="0.3">
      <c r="A332"/>
    </row>
    <row r="333" spans="1:1" x14ac:dyDescent="0.3">
      <c r="A333"/>
    </row>
    <row r="334" spans="1:1" x14ac:dyDescent="0.3">
      <c r="A334"/>
    </row>
    <row r="335" spans="1:1" x14ac:dyDescent="0.3">
      <c r="A335"/>
    </row>
    <row r="336" spans="1:1" x14ac:dyDescent="0.3">
      <c r="A336"/>
    </row>
    <row r="337" spans="1:1" x14ac:dyDescent="0.3">
      <c r="A337"/>
    </row>
    <row r="338" spans="1:1" x14ac:dyDescent="0.3">
      <c r="A338"/>
    </row>
    <row r="339" spans="1:1" x14ac:dyDescent="0.3">
      <c r="A339"/>
    </row>
    <row r="340" spans="1:1" x14ac:dyDescent="0.3">
      <c r="A340"/>
    </row>
    <row r="341" spans="1:1" x14ac:dyDescent="0.3">
      <c r="A341"/>
    </row>
    <row r="342" spans="1:1" x14ac:dyDescent="0.3">
      <c r="A342"/>
    </row>
    <row r="343" spans="1:1" x14ac:dyDescent="0.3">
      <c r="A343"/>
    </row>
    <row r="344" spans="1:1" x14ac:dyDescent="0.3">
      <c r="A344"/>
    </row>
    <row r="345" spans="1:1" x14ac:dyDescent="0.3">
      <c r="A345"/>
    </row>
    <row r="346" spans="1:1" x14ac:dyDescent="0.3">
      <c r="A346"/>
    </row>
    <row r="347" spans="1:1" x14ac:dyDescent="0.3">
      <c r="A347"/>
    </row>
    <row r="348" spans="1:1" x14ac:dyDescent="0.3">
      <c r="A348"/>
    </row>
    <row r="349" spans="1:1" x14ac:dyDescent="0.3">
      <c r="A349"/>
    </row>
    <row r="350" spans="1:1" x14ac:dyDescent="0.3">
      <c r="A350"/>
    </row>
    <row r="351" spans="1:1" x14ac:dyDescent="0.3">
      <c r="A351"/>
    </row>
    <row r="352" spans="1:1" x14ac:dyDescent="0.3">
      <c r="A352"/>
    </row>
    <row r="353" spans="1:1" x14ac:dyDescent="0.3">
      <c r="A353"/>
    </row>
    <row r="354" spans="1:1" x14ac:dyDescent="0.3">
      <c r="A354"/>
    </row>
    <row r="355" spans="1:1" x14ac:dyDescent="0.3">
      <c r="A355"/>
    </row>
    <row r="356" spans="1:1" x14ac:dyDescent="0.3">
      <c r="A356"/>
    </row>
    <row r="357" spans="1:1" x14ac:dyDescent="0.3">
      <c r="A357"/>
    </row>
    <row r="358" spans="1:1" x14ac:dyDescent="0.3">
      <c r="A358"/>
    </row>
    <row r="359" spans="1:1" x14ac:dyDescent="0.3">
      <c r="A359"/>
    </row>
    <row r="360" spans="1:1" x14ac:dyDescent="0.3">
      <c r="A360"/>
    </row>
    <row r="361" spans="1:1" x14ac:dyDescent="0.3">
      <c r="A361"/>
    </row>
    <row r="362" spans="1:1" x14ac:dyDescent="0.3">
      <c r="A362"/>
    </row>
    <row r="363" spans="1:1" x14ac:dyDescent="0.3">
      <c r="A363"/>
    </row>
    <row r="364" spans="1:1" x14ac:dyDescent="0.3">
      <c r="A364"/>
    </row>
    <row r="365" spans="1:1" x14ac:dyDescent="0.3">
      <c r="A365"/>
    </row>
    <row r="366" spans="1:1" x14ac:dyDescent="0.3">
      <c r="A366"/>
    </row>
    <row r="367" spans="1:1" x14ac:dyDescent="0.3">
      <c r="A367"/>
    </row>
    <row r="368" spans="1:1" x14ac:dyDescent="0.3">
      <c r="A368"/>
    </row>
    <row r="369" spans="1:1" x14ac:dyDescent="0.3">
      <c r="A369"/>
    </row>
    <row r="370" spans="1:1" x14ac:dyDescent="0.3">
      <c r="A370"/>
    </row>
    <row r="371" spans="1:1" x14ac:dyDescent="0.3">
      <c r="A371"/>
    </row>
    <row r="372" spans="1:1" x14ac:dyDescent="0.3">
      <c r="A372"/>
    </row>
    <row r="373" spans="1:1" x14ac:dyDescent="0.3">
      <c r="A373"/>
    </row>
    <row r="374" spans="1:1" x14ac:dyDescent="0.3">
      <c r="A374"/>
    </row>
    <row r="375" spans="1:1" x14ac:dyDescent="0.3">
      <c r="A375"/>
    </row>
    <row r="376" spans="1:1" x14ac:dyDescent="0.3">
      <c r="A376"/>
    </row>
    <row r="377" spans="1:1" x14ac:dyDescent="0.3">
      <c r="A377"/>
    </row>
    <row r="378" spans="1:1" x14ac:dyDescent="0.3">
      <c r="A378"/>
    </row>
    <row r="379" spans="1:1" x14ac:dyDescent="0.3">
      <c r="A379"/>
    </row>
    <row r="380" spans="1:1" x14ac:dyDescent="0.3">
      <c r="A380"/>
    </row>
    <row r="381" spans="1:1" x14ac:dyDescent="0.3">
      <c r="A381"/>
    </row>
    <row r="382" spans="1:1" x14ac:dyDescent="0.3">
      <c r="A382"/>
    </row>
    <row r="383" spans="1:1" x14ac:dyDescent="0.3">
      <c r="A383"/>
    </row>
    <row r="384" spans="1:1" x14ac:dyDescent="0.3">
      <c r="A384"/>
    </row>
    <row r="385" spans="1:1" x14ac:dyDescent="0.3">
      <c r="A385"/>
    </row>
    <row r="386" spans="1:1" x14ac:dyDescent="0.3">
      <c r="A386"/>
    </row>
    <row r="387" spans="1:1" x14ac:dyDescent="0.3">
      <c r="A387"/>
    </row>
    <row r="388" spans="1:1" x14ac:dyDescent="0.3">
      <c r="A388"/>
    </row>
    <row r="389" spans="1:1" x14ac:dyDescent="0.3">
      <c r="A389"/>
    </row>
    <row r="390" spans="1:1" x14ac:dyDescent="0.3">
      <c r="A390"/>
    </row>
    <row r="391" spans="1:1" x14ac:dyDescent="0.3">
      <c r="A391"/>
    </row>
    <row r="392" spans="1:1" x14ac:dyDescent="0.3">
      <c r="A392"/>
    </row>
    <row r="393" spans="1:1" x14ac:dyDescent="0.3">
      <c r="A393"/>
    </row>
    <row r="394" spans="1:1" x14ac:dyDescent="0.3">
      <c r="A394"/>
    </row>
    <row r="395" spans="1:1" x14ac:dyDescent="0.3">
      <c r="A395"/>
    </row>
    <row r="396" spans="1:1" x14ac:dyDescent="0.3">
      <c r="A396"/>
    </row>
    <row r="397" spans="1:1" x14ac:dyDescent="0.3">
      <c r="A397"/>
    </row>
    <row r="398" spans="1:1" x14ac:dyDescent="0.3">
      <c r="A398"/>
    </row>
    <row r="399" spans="1:1" x14ac:dyDescent="0.3">
      <c r="A399"/>
    </row>
    <row r="400" spans="1:1" x14ac:dyDescent="0.3">
      <c r="A400"/>
    </row>
    <row r="401" spans="1:1" x14ac:dyDescent="0.3">
      <c r="A401"/>
    </row>
    <row r="402" spans="1:1" x14ac:dyDescent="0.3">
      <c r="A402"/>
    </row>
    <row r="403" spans="1:1" x14ac:dyDescent="0.3">
      <c r="A403"/>
    </row>
    <row r="404" spans="1:1" x14ac:dyDescent="0.3">
      <c r="A404"/>
    </row>
    <row r="405" spans="1:1" x14ac:dyDescent="0.3">
      <c r="A405"/>
    </row>
    <row r="406" spans="1:1" x14ac:dyDescent="0.3">
      <c r="A406"/>
    </row>
    <row r="407" spans="1:1" x14ac:dyDescent="0.3">
      <c r="A407"/>
    </row>
    <row r="408" spans="1:1" x14ac:dyDescent="0.3">
      <c r="A408"/>
    </row>
    <row r="409" spans="1:1" x14ac:dyDescent="0.3">
      <c r="A409"/>
    </row>
    <row r="410" spans="1:1" x14ac:dyDescent="0.3">
      <c r="A410"/>
    </row>
    <row r="411" spans="1:1" x14ac:dyDescent="0.3">
      <c r="A411"/>
    </row>
    <row r="412" spans="1:1" x14ac:dyDescent="0.3">
      <c r="A412"/>
    </row>
    <row r="413" spans="1:1" x14ac:dyDescent="0.3">
      <c r="A413"/>
    </row>
    <row r="414" spans="1:1" x14ac:dyDescent="0.3">
      <c r="A414"/>
    </row>
    <row r="415" spans="1:1" x14ac:dyDescent="0.3">
      <c r="A415"/>
    </row>
    <row r="416" spans="1:1" x14ac:dyDescent="0.3">
      <c r="A416"/>
    </row>
    <row r="417" spans="1:1" x14ac:dyDescent="0.3">
      <c r="A417"/>
    </row>
    <row r="418" spans="1:1" x14ac:dyDescent="0.3">
      <c r="A418"/>
    </row>
    <row r="419" spans="1:1" x14ac:dyDescent="0.3">
      <c r="A419"/>
    </row>
    <row r="420" spans="1:1" x14ac:dyDescent="0.3">
      <c r="A420"/>
    </row>
    <row r="421" spans="1:1" x14ac:dyDescent="0.3">
      <c r="A421"/>
    </row>
    <row r="422" spans="1:1" x14ac:dyDescent="0.3">
      <c r="A422"/>
    </row>
    <row r="423" spans="1:1" x14ac:dyDescent="0.3">
      <c r="A423"/>
    </row>
    <row r="424" spans="1:1" x14ac:dyDescent="0.3">
      <c r="A424"/>
    </row>
    <row r="425" spans="1:1" x14ac:dyDescent="0.3">
      <c r="A425"/>
    </row>
    <row r="426" spans="1:1" x14ac:dyDescent="0.3">
      <c r="A426"/>
    </row>
    <row r="427" spans="1:1" x14ac:dyDescent="0.3">
      <c r="A427"/>
    </row>
    <row r="428" spans="1:1" x14ac:dyDescent="0.3">
      <c r="A428"/>
    </row>
    <row r="429" spans="1:1" x14ac:dyDescent="0.3">
      <c r="A429"/>
    </row>
    <row r="430" spans="1:1" x14ac:dyDescent="0.3">
      <c r="A430"/>
    </row>
    <row r="431" spans="1:1" x14ac:dyDescent="0.3">
      <c r="A431"/>
    </row>
    <row r="432" spans="1:1" x14ac:dyDescent="0.3">
      <c r="A432"/>
    </row>
    <row r="433" spans="1:1" x14ac:dyDescent="0.3">
      <c r="A433"/>
    </row>
    <row r="434" spans="1:1" x14ac:dyDescent="0.3">
      <c r="A434"/>
    </row>
    <row r="435" spans="1:1" x14ac:dyDescent="0.3">
      <c r="A435"/>
    </row>
    <row r="436" spans="1:1" x14ac:dyDescent="0.3">
      <c r="A436"/>
    </row>
    <row r="437" spans="1:1" x14ac:dyDescent="0.3">
      <c r="A437"/>
    </row>
    <row r="438" spans="1:1" x14ac:dyDescent="0.3">
      <c r="A438"/>
    </row>
    <row r="439" spans="1:1" x14ac:dyDescent="0.3">
      <c r="A439"/>
    </row>
    <row r="440" spans="1:1" x14ac:dyDescent="0.3">
      <c r="A440"/>
    </row>
    <row r="441" spans="1:1" x14ac:dyDescent="0.3">
      <c r="A441"/>
    </row>
    <row r="442" spans="1:1" x14ac:dyDescent="0.3">
      <c r="A442"/>
    </row>
    <row r="443" spans="1:1" x14ac:dyDescent="0.3">
      <c r="A443"/>
    </row>
    <row r="444" spans="1:1" x14ac:dyDescent="0.3">
      <c r="A444"/>
    </row>
    <row r="445" spans="1:1" x14ac:dyDescent="0.3">
      <c r="A445"/>
    </row>
    <row r="446" spans="1:1" x14ac:dyDescent="0.3">
      <c r="A446"/>
    </row>
    <row r="447" spans="1:1" x14ac:dyDescent="0.3">
      <c r="A447"/>
    </row>
    <row r="448" spans="1:1" x14ac:dyDescent="0.3">
      <c r="A448"/>
    </row>
    <row r="449" spans="1:1" x14ac:dyDescent="0.3">
      <c r="A449"/>
    </row>
    <row r="450" spans="1:1" x14ac:dyDescent="0.3">
      <c r="A450"/>
    </row>
    <row r="451" spans="1:1" x14ac:dyDescent="0.3">
      <c r="A451"/>
    </row>
    <row r="452" spans="1:1" x14ac:dyDescent="0.3">
      <c r="A452"/>
    </row>
    <row r="453" spans="1:1" x14ac:dyDescent="0.3">
      <c r="A453"/>
    </row>
    <row r="454" spans="1:1" x14ac:dyDescent="0.3">
      <c r="A454"/>
    </row>
    <row r="455" spans="1:1" x14ac:dyDescent="0.3">
      <c r="A455"/>
    </row>
    <row r="456" spans="1:1" x14ac:dyDescent="0.3">
      <c r="A456"/>
    </row>
    <row r="457" spans="1:1" x14ac:dyDescent="0.3">
      <c r="A457"/>
    </row>
    <row r="458" spans="1:1" x14ac:dyDescent="0.3">
      <c r="A458"/>
    </row>
    <row r="459" spans="1:1" x14ac:dyDescent="0.3">
      <c r="A459"/>
    </row>
    <row r="460" spans="1:1" x14ac:dyDescent="0.3">
      <c r="A460"/>
    </row>
    <row r="461" spans="1:1" x14ac:dyDescent="0.3">
      <c r="A461"/>
    </row>
    <row r="462" spans="1:1" x14ac:dyDescent="0.3">
      <c r="A462"/>
    </row>
    <row r="463" spans="1:1" x14ac:dyDescent="0.3">
      <c r="A463"/>
    </row>
    <row r="464" spans="1:1" x14ac:dyDescent="0.3">
      <c r="A464"/>
    </row>
    <row r="465" spans="1:1" x14ac:dyDescent="0.3">
      <c r="A465"/>
    </row>
    <row r="466" spans="1:1" x14ac:dyDescent="0.3">
      <c r="A466"/>
    </row>
    <row r="467" spans="1:1" x14ac:dyDescent="0.3">
      <c r="A467"/>
    </row>
    <row r="468" spans="1:1" x14ac:dyDescent="0.3">
      <c r="A468"/>
    </row>
    <row r="469" spans="1:1" x14ac:dyDescent="0.3">
      <c r="A469"/>
    </row>
    <row r="470" spans="1:1" x14ac:dyDescent="0.3">
      <c r="A470"/>
    </row>
    <row r="471" spans="1:1" x14ac:dyDescent="0.3">
      <c r="A471"/>
    </row>
    <row r="472" spans="1:1" x14ac:dyDescent="0.3">
      <c r="A472"/>
    </row>
    <row r="473" spans="1:1" x14ac:dyDescent="0.3">
      <c r="A473"/>
    </row>
    <row r="474" spans="1:1" x14ac:dyDescent="0.3">
      <c r="A474"/>
    </row>
    <row r="475" spans="1:1" x14ac:dyDescent="0.3">
      <c r="A475"/>
    </row>
    <row r="476" spans="1:1" x14ac:dyDescent="0.3">
      <c r="A476"/>
    </row>
    <row r="477" spans="1:1" x14ac:dyDescent="0.3">
      <c r="A477"/>
    </row>
    <row r="478" spans="1:1" x14ac:dyDescent="0.3">
      <c r="A478"/>
    </row>
    <row r="479" spans="1:1" x14ac:dyDescent="0.3">
      <c r="A479"/>
    </row>
    <row r="480" spans="1:1" x14ac:dyDescent="0.3">
      <c r="A480"/>
    </row>
    <row r="481" spans="1:1" x14ac:dyDescent="0.3">
      <c r="A481"/>
    </row>
    <row r="482" spans="1:1" x14ac:dyDescent="0.3">
      <c r="A482"/>
    </row>
    <row r="483" spans="1:1" x14ac:dyDescent="0.3">
      <c r="A483"/>
    </row>
    <row r="484" spans="1:1" x14ac:dyDescent="0.3">
      <c r="A484"/>
    </row>
    <row r="485" spans="1:1" x14ac:dyDescent="0.3">
      <c r="A485"/>
    </row>
    <row r="486" spans="1:1" x14ac:dyDescent="0.3">
      <c r="A486"/>
    </row>
    <row r="487" spans="1:1" x14ac:dyDescent="0.3">
      <c r="A487"/>
    </row>
    <row r="488" spans="1:1" x14ac:dyDescent="0.3">
      <c r="A488"/>
    </row>
    <row r="489" spans="1:1" x14ac:dyDescent="0.3">
      <c r="A489"/>
    </row>
    <row r="490" spans="1:1" x14ac:dyDescent="0.3">
      <c r="A490"/>
    </row>
    <row r="491" spans="1:1" x14ac:dyDescent="0.3">
      <c r="A491"/>
    </row>
    <row r="492" spans="1:1" x14ac:dyDescent="0.3">
      <c r="A492"/>
    </row>
    <row r="493" spans="1:1" x14ac:dyDescent="0.3">
      <c r="A493"/>
    </row>
    <row r="494" spans="1:1" x14ac:dyDescent="0.3">
      <c r="A494"/>
    </row>
    <row r="495" spans="1:1" x14ac:dyDescent="0.3">
      <c r="A495"/>
    </row>
    <row r="496" spans="1:1" x14ac:dyDescent="0.3">
      <c r="A496"/>
    </row>
  </sheetData>
  <pageMargins left="0.7" right="0.7" top="0.75" bottom="0.75" header="0.3" footer="0.3"/>
  <drawing r:id="rId1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D8F6-477F-4BB9-AD89-2BE6E08ABB0B}">
  <dimension ref="A1:G496"/>
  <sheetViews>
    <sheetView zoomScale="60" zoomScaleNormal="70" workbookViewId="0">
      <selection sqref="A1:C20"/>
    </sheetView>
  </sheetViews>
  <sheetFormatPr baseColWidth="10" defaultColWidth="11.33203125" defaultRowHeight="14.4" x14ac:dyDescent="0.3"/>
  <cols>
    <col min="1" max="1" width="22.109375" style="119" bestFit="1" customWidth="1"/>
    <col min="2" max="3" width="22.109375" customWidth="1"/>
    <col min="5" max="5" width="21.109375" bestFit="1" customWidth="1"/>
    <col min="6" max="7" width="17.33203125" bestFit="1" customWidth="1"/>
  </cols>
  <sheetData>
    <row r="1" spans="1:7" ht="32.4" x14ac:dyDescent="0.3">
      <c r="A1" s="120" t="s">
        <v>616</v>
      </c>
      <c r="B1" s="121" t="s">
        <v>803</v>
      </c>
      <c r="C1" s="121" t="s">
        <v>804</v>
      </c>
      <c r="E1" s="120"/>
      <c r="F1" s="121"/>
      <c r="G1" s="121"/>
    </row>
    <row r="2" spans="1:7" ht="32.4" hidden="1" x14ac:dyDescent="0.3">
      <c r="A2" s="122" t="s">
        <v>646</v>
      </c>
      <c r="B2" s="123" t="str" cm="1">
        <f t="array" aca="1" ref="B2" ca="1">_xlfn.XLOOKUP(A2,INDIRECT(Backend_1!$O$3&amp;"!"&amp;"a:a"),INDIRECT(Backend_1!$O$3 &amp;"!"&amp;"o:o"))</f>
        <v>Non appliqué</v>
      </c>
      <c r="C2" s="123" cm="1">
        <f t="array" aca="1" ref="C2" ca="1">_xlfn.XLOOKUP(A2,INDIRECT(Backend_1!$O$3&amp;"!"&amp;"a:a"),INDIRECT(Backend_1!$O$3 &amp;"!"&amp;"q:q"))</f>
        <v>0</v>
      </c>
      <c r="E2" s="122"/>
      <c r="F2" s="123"/>
      <c r="G2" s="123"/>
    </row>
    <row r="3" spans="1:7" ht="16.2" x14ac:dyDescent="0.3">
      <c r="A3" s="122" t="s">
        <v>653</v>
      </c>
      <c r="B3" s="123" cm="1">
        <f t="array" aca="1" ref="B3" ca="1">_xlfn.XLOOKUP(A3,INDIRECT(Backend_1!$O$3&amp;"!"&amp;"a:a"),INDIRECT(Backend_1!$O$3 &amp;"!"&amp;"o:o"))</f>
        <v>0</v>
      </c>
      <c r="C3" s="123" t="str" cm="1">
        <f t="array" aca="1" ref="C3" ca="1">_xlfn.XLOOKUP(A3,INDIRECT(Backend_1!$O$3&amp;"!"&amp;"a:a"),INDIRECT(Backend_1!$O$3 &amp;"!"&amp;"q:q"))</f>
        <v>Non appliqué</v>
      </c>
      <c r="E3" s="122"/>
      <c r="F3" s="123"/>
      <c r="G3" s="123"/>
    </row>
    <row r="4" spans="1:7" ht="16.2" x14ac:dyDescent="0.3">
      <c r="A4" s="122" t="s">
        <v>659</v>
      </c>
      <c r="B4" s="123" cm="1">
        <f t="array" aca="1" ref="B4" ca="1">_xlfn.XLOOKUP(A4,INDIRECT(Backend_1!$O$3&amp;"!"&amp;"a:a"),INDIRECT(Backend_1!$O$3 &amp;"!"&amp;"o:o"))</f>
        <v>0</v>
      </c>
      <c r="C4" s="123" cm="1">
        <f t="array" aca="1" ref="C4" ca="1">_xlfn.XLOOKUP(A4,INDIRECT(Backend_1!$O$3&amp;"!"&amp;"a:a"),INDIRECT(Backend_1!$O$3 &amp;"!"&amp;"q:q"))</f>
        <v>0</v>
      </c>
      <c r="E4" s="122"/>
      <c r="F4" s="123"/>
      <c r="G4" s="123"/>
    </row>
    <row r="5" spans="1:7" ht="16.2" x14ac:dyDescent="0.3">
      <c r="A5" s="122" t="s">
        <v>669</v>
      </c>
      <c r="B5" s="123" cm="1">
        <f t="array" aca="1" ref="B5" ca="1">_xlfn.XLOOKUP(A5,INDIRECT(Backend_1!$O$3&amp;"!"&amp;"a:a"),INDIRECT(Backend_1!$O$3 &amp;"!"&amp;"o:o"))</f>
        <v>0</v>
      </c>
      <c r="C5" s="123" cm="1">
        <f t="array" aca="1" ref="C5" ca="1">_xlfn.XLOOKUP(A5,INDIRECT(Backend_1!$O$3&amp;"!"&amp;"a:a"),INDIRECT(Backend_1!$O$3 &amp;"!"&amp;"q:q"))</f>
        <v>0</v>
      </c>
      <c r="E5" s="122"/>
      <c r="F5" s="123"/>
      <c r="G5" s="123"/>
    </row>
    <row r="6" spans="1:7" ht="16.2" x14ac:dyDescent="0.3">
      <c r="A6" s="122" t="s">
        <v>676</v>
      </c>
      <c r="B6" s="123" cm="1">
        <f t="array" aca="1" ref="B6" ca="1">_xlfn.XLOOKUP(A6,INDIRECT(Backend_1!$O$3&amp;"!"&amp;"a:a"),INDIRECT(Backend_1!$O$3 &amp;"!"&amp;"o:o"))</f>
        <v>0</v>
      </c>
      <c r="C6" s="123" cm="1">
        <f t="array" aca="1" ref="C6" ca="1">_xlfn.XLOOKUP(A6,INDIRECT(Backend_1!$O$3&amp;"!"&amp;"a:a"),INDIRECT(Backend_1!$O$3 &amp;"!"&amp;"q:q"))</f>
        <v>0</v>
      </c>
      <c r="E6" s="122"/>
      <c r="F6" s="123"/>
      <c r="G6" s="123"/>
    </row>
    <row r="7" spans="1:7" ht="16.2" x14ac:dyDescent="0.3">
      <c r="A7" s="122" t="s">
        <v>680</v>
      </c>
      <c r="B7" s="123" t="str" cm="1">
        <f t="array" aca="1" ref="B7" ca="1">_xlfn.XLOOKUP(A7,INDIRECT(Backend_1!$O$3&amp;"!"&amp;"a:a"),INDIRECT(Backend_1!$O$3 &amp;"!"&amp;"o:o"))</f>
        <v>Non appliqué</v>
      </c>
      <c r="C7" s="123" cm="1">
        <f t="array" aca="1" ref="C7" ca="1">_xlfn.XLOOKUP(A7,INDIRECT(Backend_1!$O$3&amp;"!"&amp;"a:a"),INDIRECT(Backend_1!$O$3 &amp;"!"&amp;"q:q"))</f>
        <v>0</v>
      </c>
      <c r="E7" s="122"/>
      <c r="F7" s="123"/>
      <c r="G7" s="123"/>
    </row>
    <row r="8" spans="1:7" ht="16.2" x14ac:dyDescent="0.3">
      <c r="A8" s="122" t="s">
        <v>686</v>
      </c>
      <c r="B8" s="123" t="str" cm="1">
        <f t="array" aca="1" ref="B8" ca="1">_xlfn.XLOOKUP(A8,INDIRECT(Backend_1!$O$3&amp;"!"&amp;"a:a"),INDIRECT(Backend_1!$O$3 &amp;"!"&amp;"o:o"))</f>
        <v>Non appliqué</v>
      </c>
      <c r="C8" s="123" t="str" cm="1">
        <f t="array" aca="1" ref="C8" ca="1">_xlfn.XLOOKUP(A8,INDIRECT(Backend_1!$O$3&amp;"!"&amp;"a:a"),INDIRECT(Backend_1!$O$3 &amp;"!"&amp;"q:q"))</f>
        <v>Non appliqué</v>
      </c>
      <c r="E8" s="122"/>
      <c r="F8" s="123"/>
      <c r="G8" s="123"/>
    </row>
    <row r="9" spans="1:7" ht="32.4" x14ac:dyDescent="0.3">
      <c r="A9" s="122" t="s">
        <v>692</v>
      </c>
      <c r="B9" s="123" t="str" cm="1">
        <f t="array" aca="1" ref="B9" ca="1">_xlfn.XLOOKUP(A9,INDIRECT(Backend_1!$O$3&amp;"!"&amp;"a:a"),INDIRECT(Backend_1!$O$3 &amp;"!"&amp;"o:o"))</f>
        <v>Non appliqué</v>
      </c>
      <c r="C9" s="123" t="str" cm="1">
        <f t="array" aca="1" ref="C9" ca="1">_xlfn.XLOOKUP(A9,INDIRECT(Backend_1!$O$3&amp;"!"&amp;"a:a"),INDIRECT(Backend_1!$O$3 &amp;"!"&amp;"q:q"))</f>
        <v>Non appliqué</v>
      </c>
      <c r="E9" s="122"/>
      <c r="F9" s="123"/>
      <c r="G9" s="123"/>
    </row>
    <row r="10" spans="1:7" ht="16.2" x14ac:dyDescent="0.3">
      <c r="A10" s="122" t="s">
        <v>694</v>
      </c>
      <c r="B10" s="123" t="str" cm="1">
        <f t="array" aca="1" ref="B10" ca="1">_xlfn.XLOOKUP(A10,INDIRECT(Backend_1!$O$3&amp;"!"&amp;"a:a"),INDIRECT(Backend_1!$O$3 &amp;"!"&amp;"o:o"))</f>
        <v>Non appliqué</v>
      </c>
      <c r="C10" s="123" t="str" cm="1">
        <f t="array" aca="1" ref="C10" ca="1">_xlfn.XLOOKUP(A10,INDIRECT(Backend_1!$O$3&amp;"!"&amp;"a:a"),INDIRECT(Backend_1!$O$3 &amp;"!"&amp;"q:q"))</f>
        <v>Non appliqué</v>
      </c>
      <c r="E10" s="122"/>
      <c r="F10" s="123"/>
      <c r="G10" s="123"/>
    </row>
    <row r="11" spans="1:7" ht="64.8" x14ac:dyDescent="0.3">
      <c r="A11" s="122" t="s">
        <v>699</v>
      </c>
      <c r="B11" s="123" t="str" cm="1">
        <f t="array" aca="1" ref="B11" ca="1">_xlfn.XLOOKUP(A11,INDIRECT(Backend_1!$O$3&amp;"!"&amp;"a:a"),INDIRECT(Backend_1!$O$3 &amp;"!"&amp;"o:o"))</f>
        <v>Non appliqué</v>
      </c>
      <c r="C11" s="123" t="str" cm="1">
        <f t="array" aca="1" ref="C11" ca="1">_xlfn.XLOOKUP(A11,INDIRECT(Backend_1!$O$3&amp;"!"&amp;"a:a"),INDIRECT(Backend_1!$O$3 &amp;"!"&amp;"q:q"))</f>
        <v>Non appliqué</v>
      </c>
      <c r="E11" s="122"/>
      <c r="F11" s="123"/>
      <c r="G11" s="123"/>
    </row>
    <row r="12" spans="1:7" ht="16.2" x14ac:dyDescent="0.3">
      <c r="A12" s="122" t="s">
        <v>704</v>
      </c>
      <c r="B12" s="123" t="str" cm="1">
        <f t="array" aca="1" ref="B12" ca="1">_xlfn.XLOOKUP(A12,INDIRECT(Backend_1!$O$3&amp;"!"&amp;"a:a"),INDIRECT(Backend_1!$O$3 &amp;"!"&amp;"o:o"))</f>
        <v>Non appliqué</v>
      </c>
      <c r="C12" s="123" t="str" cm="1">
        <f t="array" aca="1" ref="C12" ca="1">_xlfn.XLOOKUP(A12,INDIRECT(Backend_1!$O$3&amp;"!"&amp;"a:a"),INDIRECT(Backend_1!$O$3 &amp;"!"&amp;"q:q"))</f>
        <v>Non appliqué</v>
      </c>
      <c r="E12" s="122"/>
      <c r="F12" s="123"/>
      <c r="G12" s="123"/>
    </row>
    <row r="13" spans="1:7" ht="16.2" x14ac:dyDescent="0.3">
      <c r="A13" s="122" t="s">
        <v>21</v>
      </c>
      <c r="B13" s="123" t="str" cm="1">
        <f t="array" aca="1" ref="B13" ca="1">_xlfn.XLOOKUP(A13,INDIRECT(Backend_1!$O$3&amp;"!"&amp;"a:a"),INDIRECT(Backend_1!$O$3 &amp;"!"&amp;"o:o"))</f>
        <v>Non appliqué</v>
      </c>
      <c r="C13" s="123" t="str" cm="1">
        <f t="array" aca="1" ref="C13" ca="1">_xlfn.XLOOKUP(A13,INDIRECT(Backend_1!$O$3&amp;"!"&amp;"a:a"),INDIRECT(Backend_1!$O$3 &amp;"!"&amp;"q:q"))</f>
        <v>Non appliqué</v>
      </c>
      <c r="E13" s="122"/>
      <c r="F13" s="123"/>
      <c r="G13" s="123"/>
    </row>
    <row r="14" spans="1:7" ht="16.2" x14ac:dyDescent="0.3">
      <c r="A14" s="122" t="s">
        <v>729</v>
      </c>
      <c r="B14" s="123" t="str" cm="1">
        <f t="array" aca="1" ref="B14" ca="1">_xlfn.XLOOKUP(A14,INDIRECT(Backend_1!$O$3&amp;"!"&amp;"a:a"),INDIRECT(Backend_1!$O$3 &amp;"!"&amp;"o:o"))</f>
        <v>Non appliqué</v>
      </c>
      <c r="C14" s="123" t="str" cm="1">
        <f t="array" aca="1" ref="C14" ca="1">_xlfn.XLOOKUP(A14,INDIRECT(Backend_1!$O$3&amp;"!"&amp;"a:a"),INDIRECT(Backend_1!$O$3 &amp;"!"&amp;"q:q"))</f>
        <v>Non appliqué</v>
      </c>
      <c r="E14" s="122"/>
      <c r="F14" s="123"/>
      <c r="G14" s="123"/>
    </row>
    <row r="15" spans="1:7" ht="16.2" x14ac:dyDescent="0.3">
      <c r="A15" s="122" t="s">
        <v>731</v>
      </c>
      <c r="B15" s="123" t="str" cm="1">
        <f t="array" aca="1" ref="B15" ca="1">_xlfn.XLOOKUP(A15,INDIRECT(Backend_1!$O$3&amp;"!"&amp;"a:a"),INDIRECT(Backend_1!$O$3 &amp;"!"&amp;"o:o"))</f>
        <v>Non appliqué</v>
      </c>
      <c r="C15" s="123" t="str" cm="1">
        <f t="array" aca="1" ref="C15" ca="1">_xlfn.XLOOKUP(A15,INDIRECT(Backend_1!$O$3&amp;"!"&amp;"a:a"),INDIRECT(Backend_1!$O$3 &amp;"!"&amp;"q:q"))</f>
        <v>Non appliqué</v>
      </c>
      <c r="E15" s="122"/>
      <c r="F15" s="123"/>
      <c r="G15" s="123"/>
    </row>
    <row r="16" spans="1:7" ht="16.2" x14ac:dyDescent="0.3">
      <c r="A16" s="122" t="s">
        <v>738</v>
      </c>
      <c r="B16" s="123" t="str" cm="1">
        <f t="array" aca="1" ref="B16" ca="1">_xlfn.XLOOKUP(A16,INDIRECT(Backend_1!$O$3&amp;"!"&amp;"a:a"),INDIRECT(Backend_1!$O$3 &amp;"!"&amp;"o:o"))</f>
        <v>Non appliqué</v>
      </c>
      <c r="C16" s="123" t="str" cm="1">
        <f t="array" aca="1" ref="C16" ca="1">_xlfn.XLOOKUP(A16,INDIRECT(Backend_1!$O$3&amp;"!"&amp;"a:a"),INDIRECT(Backend_1!$O$3 &amp;"!"&amp;"q:q"))</f>
        <v>Non appliqué</v>
      </c>
      <c r="E16" s="122"/>
      <c r="F16" s="123"/>
      <c r="G16" s="123"/>
    </row>
    <row r="17" spans="1:7" ht="16.2" x14ac:dyDescent="0.3">
      <c r="A17" s="122" t="s">
        <v>739</v>
      </c>
      <c r="B17" s="123" cm="1">
        <f t="array" aca="1" ref="B17" ca="1">_xlfn.XLOOKUP(A17,INDIRECT(Backend_1!$O$3&amp;"!"&amp;"a:a"),INDIRECT(Backend_1!$O$3 &amp;"!"&amp;"o:o"))</f>
        <v>0</v>
      </c>
      <c r="C17" s="123" cm="1">
        <f t="array" aca="1" ref="C17" ca="1">_xlfn.XLOOKUP(A17,INDIRECT(Backend_1!$O$3&amp;"!"&amp;"a:a"),INDIRECT(Backend_1!$O$3 &amp;"!"&amp;"q:q"))</f>
        <v>0</v>
      </c>
      <c r="E17" s="122"/>
      <c r="F17" s="123"/>
      <c r="G17" s="123"/>
    </row>
    <row r="18" spans="1:7" ht="32.4" x14ac:dyDescent="0.3">
      <c r="A18" s="122" t="s">
        <v>757</v>
      </c>
      <c r="B18" s="123" cm="1">
        <f t="array" aca="1" ref="B18" ca="1">_xlfn.XLOOKUP(A18,INDIRECT(Backend_1!$O$3&amp;"!"&amp;"a:a"),INDIRECT(Backend_1!$O$3 &amp;"!"&amp;"o:o"))</f>
        <v>0</v>
      </c>
      <c r="C18" s="123" cm="1">
        <f t="array" aca="1" ref="C18" ca="1">_xlfn.XLOOKUP(A18,INDIRECT(Backend_1!$O$3&amp;"!"&amp;"a:a"),INDIRECT(Backend_1!$O$3 &amp;"!"&amp;"q:q"))</f>
        <v>0</v>
      </c>
      <c r="E18" s="122"/>
      <c r="F18" s="123"/>
      <c r="G18" s="123"/>
    </row>
    <row r="19" spans="1:7" ht="16.2" x14ac:dyDescent="0.3">
      <c r="A19" s="122" t="s">
        <v>767</v>
      </c>
      <c r="B19" s="123" cm="1">
        <f t="array" aca="1" ref="B19" ca="1">_xlfn.XLOOKUP(A19,INDIRECT(Backend_1!$O$3&amp;"!"&amp;"a:a"),INDIRECT(Backend_1!$O$3 &amp;"!"&amp;"o:o"))</f>
        <v>0</v>
      </c>
      <c r="C19" s="123" cm="1">
        <f t="array" aca="1" ref="C19" ca="1">_xlfn.XLOOKUP(A19,INDIRECT(Backend_1!$O$3&amp;"!"&amp;"a:a"),INDIRECT(Backend_1!$O$3 &amp;"!"&amp;"q:q"))</f>
        <v>0</v>
      </c>
      <c r="E19" s="122"/>
      <c r="F19" s="123"/>
      <c r="G19" s="123"/>
    </row>
    <row r="20" spans="1:7" ht="32.4" x14ac:dyDescent="0.3">
      <c r="A20" s="122" t="s">
        <v>773</v>
      </c>
      <c r="B20" s="123" cm="1">
        <f t="array" aca="1" ref="B20" ca="1">_xlfn.XLOOKUP(A20,INDIRECT(Backend_1!$O$3&amp;"!"&amp;"a:a"),INDIRECT(Backend_1!$O$3 &amp;"!"&amp;"o:o"))</f>
        <v>0</v>
      </c>
      <c r="C20" s="123" cm="1">
        <f t="array" aca="1" ref="C20" ca="1">_xlfn.XLOOKUP(A20,INDIRECT(Backend_1!$O$3&amp;"!"&amp;"a:a"),INDIRECT(Backend_1!$O$3 &amp;"!"&amp;"q:q"))</f>
        <v>0</v>
      </c>
      <c r="E20" s="122"/>
      <c r="F20" s="123"/>
      <c r="G20" s="123"/>
    </row>
    <row r="21" spans="1:7" x14ac:dyDescent="0.3">
      <c r="A21" s="118"/>
    </row>
    <row r="22" spans="1:7" x14ac:dyDescent="0.3">
      <c r="A22"/>
    </row>
    <row r="23" spans="1:7" x14ac:dyDescent="0.3">
      <c r="A23"/>
    </row>
    <row r="24" spans="1:7" x14ac:dyDescent="0.3">
      <c r="A24"/>
    </row>
    <row r="25" spans="1:7" x14ac:dyDescent="0.3">
      <c r="A25"/>
    </row>
    <row r="26" spans="1:7" x14ac:dyDescent="0.3">
      <c r="A26"/>
    </row>
    <row r="27" spans="1:7" x14ac:dyDescent="0.3">
      <c r="A27"/>
    </row>
    <row r="28" spans="1:7" x14ac:dyDescent="0.3">
      <c r="A28"/>
    </row>
    <row r="29" spans="1:7" x14ac:dyDescent="0.3">
      <c r="A29"/>
    </row>
    <row r="30" spans="1:7" x14ac:dyDescent="0.3">
      <c r="A30"/>
    </row>
    <row r="31" spans="1:7" x14ac:dyDescent="0.3">
      <c r="A31"/>
    </row>
    <row r="32" spans="1:7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  <row r="200" spans="1:1" x14ac:dyDescent="0.3">
      <c r="A200"/>
    </row>
    <row r="201" spans="1:1" x14ac:dyDescent="0.3">
      <c r="A201"/>
    </row>
    <row r="202" spans="1:1" x14ac:dyDescent="0.3">
      <c r="A202"/>
    </row>
    <row r="203" spans="1:1" x14ac:dyDescent="0.3">
      <c r="A203"/>
    </row>
    <row r="204" spans="1:1" x14ac:dyDescent="0.3">
      <c r="A204"/>
    </row>
    <row r="205" spans="1:1" x14ac:dyDescent="0.3">
      <c r="A205"/>
    </row>
    <row r="206" spans="1:1" x14ac:dyDescent="0.3">
      <c r="A206"/>
    </row>
    <row r="207" spans="1:1" x14ac:dyDescent="0.3">
      <c r="A207"/>
    </row>
    <row r="208" spans="1:1" x14ac:dyDescent="0.3">
      <c r="A208"/>
    </row>
    <row r="209" spans="1:1" x14ac:dyDescent="0.3">
      <c r="A209"/>
    </row>
    <row r="210" spans="1:1" x14ac:dyDescent="0.3">
      <c r="A210"/>
    </row>
    <row r="211" spans="1:1" x14ac:dyDescent="0.3">
      <c r="A211"/>
    </row>
    <row r="212" spans="1:1" x14ac:dyDescent="0.3">
      <c r="A212"/>
    </row>
    <row r="213" spans="1:1" x14ac:dyDescent="0.3">
      <c r="A213"/>
    </row>
    <row r="214" spans="1:1" x14ac:dyDescent="0.3">
      <c r="A214"/>
    </row>
    <row r="215" spans="1:1" x14ac:dyDescent="0.3">
      <c r="A215"/>
    </row>
    <row r="216" spans="1:1" x14ac:dyDescent="0.3">
      <c r="A216"/>
    </row>
    <row r="217" spans="1:1" x14ac:dyDescent="0.3">
      <c r="A217"/>
    </row>
    <row r="218" spans="1:1" x14ac:dyDescent="0.3">
      <c r="A218"/>
    </row>
    <row r="219" spans="1:1" x14ac:dyDescent="0.3">
      <c r="A219"/>
    </row>
    <row r="220" spans="1:1" x14ac:dyDescent="0.3">
      <c r="A220"/>
    </row>
    <row r="221" spans="1:1" x14ac:dyDescent="0.3">
      <c r="A221"/>
    </row>
    <row r="222" spans="1:1" x14ac:dyDescent="0.3">
      <c r="A222"/>
    </row>
    <row r="223" spans="1:1" x14ac:dyDescent="0.3">
      <c r="A223"/>
    </row>
    <row r="224" spans="1:1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  <row r="237" spans="1:1" x14ac:dyDescent="0.3">
      <c r="A237"/>
    </row>
    <row r="238" spans="1:1" x14ac:dyDescent="0.3">
      <c r="A238"/>
    </row>
    <row r="239" spans="1:1" x14ac:dyDescent="0.3">
      <c r="A239"/>
    </row>
    <row r="240" spans="1:1" x14ac:dyDescent="0.3">
      <c r="A240"/>
    </row>
    <row r="241" spans="1:1" x14ac:dyDescent="0.3">
      <c r="A241"/>
    </row>
    <row r="242" spans="1:1" x14ac:dyDescent="0.3">
      <c r="A242"/>
    </row>
    <row r="243" spans="1:1" x14ac:dyDescent="0.3">
      <c r="A243"/>
    </row>
    <row r="244" spans="1:1" x14ac:dyDescent="0.3">
      <c r="A244"/>
    </row>
    <row r="245" spans="1:1" x14ac:dyDescent="0.3">
      <c r="A245"/>
    </row>
    <row r="246" spans="1:1" x14ac:dyDescent="0.3">
      <c r="A246"/>
    </row>
    <row r="247" spans="1:1" x14ac:dyDescent="0.3">
      <c r="A247"/>
    </row>
    <row r="248" spans="1:1" x14ac:dyDescent="0.3">
      <c r="A248"/>
    </row>
    <row r="249" spans="1:1" x14ac:dyDescent="0.3">
      <c r="A249"/>
    </row>
    <row r="250" spans="1:1" x14ac:dyDescent="0.3">
      <c r="A250"/>
    </row>
    <row r="251" spans="1:1" x14ac:dyDescent="0.3">
      <c r="A251"/>
    </row>
    <row r="252" spans="1:1" x14ac:dyDescent="0.3">
      <c r="A252"/>
    </row>
    <row r="253" spans="1:1" x14ac:dyDescent="0.3">
      <c r="A253"/>
    </row>
    <row r="254" spans="1:1" x14ac:dyDescent="0.3">
      <c r="A254"/>
    </row>
    <row r="255" spans="1:1" x14ac:dyDescent="0.3">
      <c r="A255"/>
    </row>
    <row r="256" spans="1:1" x14ac:dyDescent="0.3">
      <c r="A256"/>
    </row>
    <row r="257" spans="1:1" x14ac:dyDescent="0.3">
      <c r="A257"/>
    </row>
    <row r="258" spans="1:1" x14ac:dyDescent="0.3">
      <c r="A258"/>
    </row>
    <row r="259" spans="1:1" x14ac:dyDescent="0.3">
      <c r="A259"/>
    </row>
    <row r="260" spans="1:1" x14ac:dyDescent="0.3">
      <c r="A260"/>
    </row>
    <row r="261" spans="1:1" x14ac:dyDescent="0.3">
      <c r="A261"/>
    </row>
    <row r="262" spans="1:1" x14ac:dyDescent="0.3">
      <c r="A262"/>
    </row>
    <row r="263" spans="1:1" x14ac:dyDescent="0.3">
      <c r="A263"/>
    </row>
    <row r="264" spans="1:1" x14ac:dyDescent="0.3">
      <c r="A264"/>
    </row>
    <row r="265" spans="1:1" x14ac:dyDescent="0.3">
      <c r="A265"/>
    </row>
    <row r="266" spans="1:1" x14ac:dyDescent="0.3">
      <c r="A266"/>
    </row>
    <row r="267" spans="1:1" x14ac:dyDescent="0.3">
      <c r="A267"/>
    </row>
    <row r="268" spans="1:1" x14ac:dyDescent="0.3">
      <c r="A268"/>
    </row>
    <row r="269" spans="1:1" x14ac:dyDescent="0.3">
      <c r="A269"/>
    </row>
    <row r="270" spans="1:1" x14ac:dyDescent="0.3">
      <c r="A270"/>
    </row>
    <row r="271" spans="1:1" x14ac:dyDescent="0.3">
      <c r="A271"/>
    </row>
    <row r="272" spans="1:1" x14ac:dyDescent="0.3">
      <c r="A272"/>
    </row>
    <row r="273" spans="1:1" x14ac:dyDescent="0.3">
      <c r="A273"/>
    </row>
    <row r="274" spans="1:1" x14ac:dyDescent="0.3">
      <c r="A274"/>
    </row>
    <row r="275" spans="1:1" x14ac:dyDescent="0.3">
      <c r="A275"/>
    </row>
    <row r="276" spans="1:1" x14ac:dyDescent="0.3">
      <c r="A276"/>
    </row>
    <row r="277" spans="1:1" x14ac:dyDescent="0.3">
      <c r="A277"/>
    </row>
    <row r="278" spans="1:1" x14ac:dyDescent="0.3">
      <c r="A278"/>
    </row>
    <row r="279" spans="1:1" x14ac:dyDescent="0.3">
      <c r="A279"/>
    </row>
    <row r="280" spans="1:1" x14ac:dyDescent="0.3">
      <c r="A280"/>
    </row>
    <row r="281" spans="1:1" x14ac:dyDescent="0.3">
      <c r="A281"/>
    </row>
    <row r="282" spans="1:1" x14ac:dyDescent="0.3">
      <c r="A282"/>
    </row>
    <row r="283" spans="1:1" x14ac:dyDescent="0.3">
      <c r="A283"/>
    </row>
    <row r="284" spans="1:1" x14ac:dyDescent="0.3">
      <c r="A284"/>
    </row>
    <row r="285" spans="1:1" x14ac:dyDescent="0.3">
      <c r="A285"/>
    </row>
    <row r="286" spans="1:1" x14ac:dyDescent="0.3">
      <c r="A286"/>
    </row>
    <row r="287" spans="1:1" x14ac:dyDescent="0.3">
      <c r="A287"/>
    </row>
    <row r="288" spans="1:1" x14ac:dyDescent="0.3">
      <c r="A288"/>
    </row>
    <row r="289" spans="1:1" x14ac:dyDescent="0.3">
      <c r="A289"/>
    </row>
    <row r="290" spans="1:1" x14ac:dyDescent="0.3">
      <c r="A290"/>
    </row>
    <row r="291" spans="1:1" x14ac:dyDescent="0.3">
      <c r="A291"/>
    </row>
    <row r="292" spans="1:1" x14ac:dyDescent="0.3">
      <c r="A292"/>
    </row>
    <row r="293" spans="1:1" x14ac:dyDescent="0.3">
      <c r="A293"/>
    </row>
    <row r="294" spans="1:1" x14ac:dyDescent="0.3">
      <c r="A294"/>
    </row>
    <row r="295" spans="1:1" x14ac:dyDescent="0.3">
      <c r="A295"/>
    </row>
    <row r="296" spans="1:1" x14ac:dyDescent="0.3">
      <c r="A296"/>
    </row>
    <row r="297" spans="1:1" x14ac:dyDescent="0.3">
      <c r="A297"/>
    </row>
    <row r="298" spans="1:1" x14ac:dyDescent="0.3">
      <c r="A298"/>
    </row>
    <row r="299" spans="1:1" x14ac:dyDescent="0.3">
      <c r="A299"/>
    </row>
    <row r="300" spans="1:1" x14ac:dyDescent="0.3">
      <c r="A300"/>
    </row>
    <row r="301" spans="1:1" x14ac:dyDescent="0.3">
      <c r="A301"/>
    </row>
    <row r="302" spans="1:1" x14ac:dyDescent="0.3">
      <c r="A302"/>
    </row>
    <row r="303" spans="1:1" x14ac:dyDescent="0.3">
      <c r="A303"/>
    </row>
    <row r="304" spans="1:1" x14ac:dyDescent="0.3">
      <c r="A304"/>
    </row>
    <row r="305" spans="1:1" x14ac:dyDescent="0.3">
      <c r="A305"/>
    </row>
    <row r="306" spans="1:1" x14ac:dyDescent="0.3">
      <c r="A306"/>
    </row>
    <row r="307" spans="1:1" x14ac:dyDescent="0.3">
      <c r="A307"/>
    </row>
    <row r="308" spans="1:1" x14ac:dyDescent="0.3">
      <c r="A308"/>
    </row>
    <row r="309" spans="1:1" x14ac:dyDescent="0.3">
      <c r="A309"/>
    </row>
    <row r="310" spans="1:1" x14ac:dyDescent="0.3">
      <c r="A310"/>
    </row>
    <row r="311" spans="1:1" x14ac:dyDescent="0.3">
      <c r="A311"/>
    </row>
    <row r="312" spans="1:1" x14ac:dyDescent="0.3">
      <c r="A312"/>
    </row>
    <row r="313" spans="1:1" x14ac:dyDescent="0.3">
      <c r="A313"/>
    </row>
    <row r="314" spans="1:1" x14ac:dyDescent="0.3">
      <c r="A314"/>
    </row>
    <row r="315" spans="1:1" x14ac:dyDescent="0.3">
      <c r="A315"/>
    </row>
    <row r="316" spans="1:1" x14ac:dyDescent="0.3">
      <c r="A316"/>
    </row>
    <row r="317" spans="1:1" x14ac:dyDescent="0.3">
      <c r="A317"/>
    </row>
    <row r="318" spans="1:1" x14ac:dyDescent="0.3">
      <c r="A318"/>
    </row>
    <row r="319" spans="1:1" x14ac:dyDescent="0.3">
      <c r="A319"/>
    </row>
    <row r="320" spans="1:1" x14ac:dyDescent="0.3">
      <c r="A320"/>
    </row>
    <row r="321" spans="1:1" x14ac:dyDescent="0.3">
      <c r="A321"/>
    </row>
    <row r="322" spans="1:1" x14ac:dyDescent="0.3">
      <c r="A322"/>
    </row>
    <row r="323" spans="1:1" x14ac:dyDescent="0.3">
      <c r="A323"/>
    </row>
    <row r="324" spans="1:1" x14ac:dyDescent="0.3">
      <c r="A324"/>
    </row>
    <row r="325" spans="1:1" x14ac:dyDescent="0.3">
      <c r="A325"/>
    </row>
    <row r="326" spans="1:1" x14ac:dyDescent="0.3">
      <c r="A326"/>
    </row>
    <row r="327" spans="1:1" x14ac:dyDescent="0.3">
      <c r="A327"/>
    </row>
    <row r="328" spans="1:1" x14ac:dyDescent="0.3">
      <c r="A328"/>
    </row>
    <row r="329" spans="1:1" x14ac:dyDescent="0.3">
      <c r="A329"/>
    </row>
    <row r="330" spans="1:1" x14ac:dyDescent="0.3">
      <c r="A330"/>
    </row>
    <row r="331" spans="1:1" x14ac:dyDescent="0.3">
      <c r="A331"/>
    </row>
    <row r="332" spans="1:1" x14ac:dyDescent="0.3">
      <c r="A332"/>
    </row>
    <row r="333" spans="1:1" x14ac:dyDescent="0.3">
      <c r="A333"/>
    </row>
    <row r="334" spans="1:1" x14ac:dyDescent="0.3">
      <c r="A334"/>
    </row>
    <row r="335" spans="1:1" x14ac:dyDescent="0.3">
      <c r="A335"/>
    </row>
    <row r="336" spans="1:1" x14ac:dyDescent="0.3">
      <c r="A336"/>
    </row>
    <row r="337" spans="1:1" x14ac:dyDescent="0.3">
      <c r="A337"/>
    </row>
    <row r="338" spans="1:1" x14ac:dyDescent="0.3">
      <c r="A338"/>
    </row>
    <row r="339" spans="1:1" x14ac:dyDescent="0.3">
      <c r="A339"/>
    </row>
    <row r="340" spans="1:1" x14ac:dyDescent="0.3">
      <c r="A340"/>
    </row>
    <row r="341" spans="1:1" x14ac:dyDescent="0.3">
      <c r="A341"/>
    </row>
    <row r="342" spans="1:1" x14ac:dyDescent="0.3">
      <c r="A342"/>
    </row>
    <row r="343" spans="1:1" x14ac:dyDescent="0.3">
      <c r="A343"/>
    </row>
    <row r="344" spans="1:1" x14ac:dyDescent="0.3">
      <c r="A344"/>
    </row>
    <row r="345" spans="1:1" x14ac:dyDescent="0.3">
      <c r="A345"/>
    </row>
    <row r="346" spans="1:1" x14ac:dyDescent="0.3">
      <c r="A346"/>
    </row>
    <row r="347" spans="1:1" x14ac:dyDescent="0.3">
      <c r="A347"/>
    </row>
    <row r="348" spans="1:1" x14ac:dyDescent="0.3">
      <c r="A348"/>
    </row>
    <row r="349" spans="1:1" x14ac:dyDescent="0.3">
      <c r="A349"/>
    </row>
    <row r="350" spans="1:1" x14ac:dyDescent="0.3">
      <c r="A350"/>
    </row>
    <row r="351" spans="1:1" x14ac:dyDescent="0.3">
      <c r="A351"/>
    </row>
    <row r="352" spans="1:1" x14ac:dyDescent="0.3">
      <c r="A352"/>
    </row>
    <row r="353" spans="1:1" x14ac:dyDescent="0.3">
      <c r="A353"/>
    </row>
    <row r="354" spans="1:1" x14ac:dyDescent="0.3">
      <c r="A354"/>
    </row>
    <row r="355" spans="1:1" x14ac:dyDescent="0.3">
      <c r="A355"/>
    </row>
    <row r="356" spans="1:1" x14ac:dyDescent="0.3">
      <c r="A356"/>
    </row>
    <row r="357" spans="1:1" x14ac:dyDescent="0.3">
      <c r="A357"/>
    </row>
    <row r="358" spans="1:1" x14ac:dyDescent="0.3">
      <c r="A358"/>
    </row>
    <row r="359" spans="1:1" x14ac:dyDescent="0.3">
      <c r="A359"/>
    </row>
    <row r="360" spans="1:1" x14ac:dyDescent="0.3">
      <c r="A360"/>
    </row>
    <row r="361" spans="1:1" x14ac:dyDescent="0.3">
      <c r="A361"/>
    </row>
    <row r="362" spans="1:1" x14ac:dyDescent="0.3">
      <c r="A362"/>
    </row>
    <row r="363" spans="1:1" x14ac:dyDescent="0.3">
      <c r="A363"/>
    </row>
    <row r="364" spans="1:1" x14ac:dyDescent="0.3">
      <c r="A364"/>
    </row>
    <row r="365" spans="1:1" x14ac:dyDescent="0.3">
      <c r="A365"/>
    </row>
    <row r="366" spans="1:1" x14ac:dyDescent="0.3">
      <c r="A366"/>
    </row>
    <row r="367" spans="1:1" x14ac:dyDescent="0.3">
      <c r="A367"/>
    </row>
    <row r="368" spans="1:1" x14ac:dyDescent="0.3">
      <c r="A368"/>
    </row>
    <row r="369" spans="1:1" x14ac:dyDescent="0.3">
      <c r="A369"/>
    </row>
    <row r="370" spans="1:1" x14ac:dyDescent="0.3">
      <c r="A370"/>
    </row>
    <row r="371" spans="1:1" x14ac:dyDescent="0.3">
      <c r="A371"/>
    </row>
    <row r="372" spans="1:1" x14ac:dyDescent="0.3">
      <c r="A372"/>
    </row>
    <row r="373" spans="1:1" x14ac:dyDescent="0.3">
      <c r="A373"/>
    </row>
    <row r="374" spans="1:1" x14ac:dyDescent="0.3">
      <c r="A374"/>
    </row>
    <row r="375" spans="1:1" x14ac:dyDescent="0.3">
      <c r="A375"/>
    </row>
    <row r="376" spans="1:1" x14ac:dyDescent="0.3">
      <c r="A376"/>
    </row>
    <row r="377" spans="1:1" x14ac:dyDescent="0.3">
      <c r="A377"/>
    </row>
    <row r="378" spans="1:1" x14ac:dyDescent="0.3">
      <c r="A378"/>
    </row>
    <row r="379" spans="1:1" x14ac:dyDescent="0.3">
      <c r="A379"/>
    </row>
    <row r="380" spans="1:1" x14ac:dyDescent="0.3">
      <c r="A380"/>
    </row>
    <row r="381" spans="1:1" x14ac:dyDescent="0.3">
      <c r="A381"/>
    </row>
    <row r="382" spans="1:1" x14ac:dyDescent="0.3">
      <c r="A382"/>
    </row>
    <row r="383" spans="1:1" x14ac:dyDescent="0.3">
      <c r="A383"/>
    </row>
    <row r="384" spans="1:1" x14ac:dyDescent="0.3">
      <c r="A384"/>
    </row>
    <row r="385" spans="1:1" x14ac:dyDescent="0.3">
      <c r="A385"/>
    </row>
    <row r="386" spans="1:1" x14ac:dyDescent="0.3">
      <c r="A386"/>
    </row>
    <row r="387" spans="1:1" x14ac:dyDescent="0.3">
      <c r="A387"/>
    </row>
    <row r="388" spans="1:1" x14ac:dyDescent="0.3">
      <c r="A388"/>
    </row>
    <row r="389" spans="1:1" x14ac:dyDescent="0.3">
      <c r="A389"/>
    </row>
    <row r="390" spans="1:1" x14ac:dyDescent="0.3">
      <c r="A390"/>
    </row>
    <row r="391" spans="1:1" x14ac:dyDescent="0.3">
      <c r="A391"/>
    </row>
    <row r="392" spans="1:1" x14ac:dyDescent="0.3">
      <c r="A392"/>
    </row>
    <row r="393" spans="1:1" x14ac:dyDescent="0.3">
      <c r="A393"/>
    </row>
    <row r="394" spans="1:1" x14ac:dyDescent="0.3">
      <c r="A394"/>
    </row>
    <row r="395" spans="1:1" x14ac:dyDescent="0.3">
      <c r="A395"/>
    </row>
    <row r="396" spans="1:1" x14ac:dyDescent="0.3">
      <c r="A396"/>
    </row>
    <row r="397" spans="1:1" x14ac:dyDescent="0.3">
      <c r="A397"/>
    </row>
    <row r="398" spans="1:1" x14ac:dyDescent="0.3">
      <c r="A398"/>
    </row>
    <row r="399" spans="1:1" x14ac:dyDescent="0.3">
      <c r="A399"/>
    </row>
    <row r="400" spans="1:1" x14ac:dyDescent="0.3">
      <c r="A400"/>
    </row>
    <row r="401" spans="1:1" x14ac:dyDescent="0.3">
      <c r="A401"/>
    </row>
    <row r="402" spans="1:1" x14ac:dyDescent="0.3">
      <c r="A402"/>
    </row>
    <row r="403" spans="1:1" x14ac:dyDescent="0.3">
      <c r="A403"/>
    </row>
    <row r="404" spans="1:1" x14ac:dyDescent="0.3">
      <c r="A404"/>
    </row>
    <row r="405" spans="1:1" x14ac:dyDescent="0.3">
      <c r="A405"/>
    </row>
    <row r="406" spans="1:1" x14ac:dyDescent="0.3">
      <c r="A406"/>
    </row>
    <row r="407" spans="1:1" x14ac:dyDescent="0.3">
      <c r="A407"/>
    </row>
    <row r="408" spans="1:1" x14ac:dyDescent="0.3">
      <c r="A408"/>
    </row>
    <row r="409" spans="1:1" x14ac:dyDescent="0.3">
      <c r="A409"/>
    </row>
    <row r="410" spans="1:1" x14ac:dyDescent="0.3">
      <c r="A410"/>
    </row>
    <row r="411" spans="1:1" x14ac:dyDescent="0.3">
      <c r="A411"/>
    </row>
    <row r="412" spans="1:1" x14ac:dyDescent="0.3">
      <c r="A412"/>
    </row>
    <row r="413" spans="1:1" x14ac:dyDescent="0.3">
      <c r="A413"/>
    </row>
    <row r="414" spans="1:1" x14ac:dyDescent="0.3">
      <c r="A414"/>
    </row>
    <row r="415" spans="1:1" x14ac:dyDescent="0.3">
      <c r="A415"/>
    </row>
    <row r="416" spans="1:1" x14ac:dyDescent="0.3">
      <c r="A416"/>
    </row>
    <row r="417" spans="1:1" x14ac:dyDescent="0.3">
      <c r="A417"/>
    </row>
    <row r="418" spans="1:1" x14ac:dyDescent="0.3">
      <c r="A418"/>
    </row>
    <row r="419" spans="1:1" x14ac:dyDescent="0.3">
      <c r="A419"/>
    </row>
    <row r="420" spans="1:1" x14ac:dyDescent="0.3">
      <c r="A420"/>
    </row>
    <row r="421" spans="1:1" x14ac:dyDescent="0.3">
      <c r="A421"/>
    </row>
    <row r="422" spans="1:1" x14ac:dyDescent="0.3">
      <c r="A422"/>
    </row>
    <row r="423" spans="1:1" x14ac:dyDescent="0.3">
      <c r="A423"/>
    </row>
    <row r="424" spans="1:1" x14ac:dyDescent="0.3">
      <c r="A424"/>
    </row>
    <row r="425" spans="1:1" x14ac:dyDescent="0.3">
      <c r="A425"/>
    </row>
    <row r="426" spans="1:1" x14ac:dyDescent="0.3">
      <c r="A426"/>
    </row>
    <row r="427" spans="1:1" x14ac:dyDescent="0.3">
      <c r="A427"/>
    </row>
    <row r="428" spans="1:1" x14ac:dyDescent="0.3">
      <c r="A428"/>
    </row>
    <row r="429" spans="1:1" x14ac:dyDescent="0.3">
      <c r="A429"/>
    </row>
    <row r="430" spans="1:1" x14ac:dyDescent="0.3">
      <c r="A430"/>
    </row>
    <row r="431" spans="1:1" x14ac:dyDescent="0.3">
      <c r="A431"/>
    </row>
    <row r="432" spans="1:1" x14ac:dyDescent="0.3">
      <c r="A432"/>
    </row>
    <row r="433" spans="1:1" x14ac:dyDescent="0.3">
      <c r="A433"/>
    </row>
    <row r="434" spans="1:1" x14ac:dyDescent="0.3">
      <c r="A434"/>
    </row>
    <row r="435" spans="1:1" x14ac:dyDescent="0.3">
      <c r="A435"/>
    </row>
    <row r="436" spans="1:1" x14ac:dyDescent="0.3">
      <c r="A436"/>
    </row>
    <row r="437" spans="1:1" x14ac:dyDescent="0.3">
      <c r="A437"/>
    </row>
    <row r="438" spans="1:1" x14ac:dyDescent="0.3">
      <c r="A438"/>
    </row>
    <row r="439" spans="1:1" x14ac:dyDescent="0.3">
      <c r="A439"/>
    </row>
    <row r="440" spans="1:1" x14ac:dyDescent="0.3">
      <c r="A440"/>
    </row>
    <row r="441" spans="1:1" x14ac:dyDescent="0.3">
      <c r="A441"/>
    </row>
    <row r="442" spans="1:1" x14ac:dyDescent="0.3">
      <c r="A442"/>
    </row>
    <row r="443" spans="1:1" x14ac:dyDescent="0.3">
      <c r="A443"/>
    </row>
    <row r="444" spans="1:1" x14ac:dyDescent="0.3">
      <c r="A444"/>
    </row>
    <row r="445" spans="1:1" x14ac:dyDescent="0.3">
      <c r="A445"/>
    </row>
    <row r="446" spans="1:1" x14ac:dyDescent="0.3">
      <c r="A446"/>
    </row>
    <row r="447" spans="1:1" x14ac:dyDescent="0.3">
      <c r="A447"/>
    </row>
    <row r="448" spans="1:1" x14ac:dyDescent="0.3">
      <c r="A448"/>
    </row>
    <row r="449" spans="1:1" x14ac:dyDescent="0.3">
      <c r="A449"/>
    </row>
    <row r="450" spans="1:1" x14ac:dyDescent="0.3">
      <c r="A450"/>
    </row>
    <row r="451" spans="1:1" x14ac:dyDescent="0.3">
      <c r="A451"/>
    </row>
    <row r="452" spans="1:1" x14ac:dyDescent="0.3">
      <c r="A452"/>
    </row>
    <row r="453" spans="1:1" x14ac:dyDescent="0.3">
      <c r="A453"/>
    </row>
    <row r="454" spans="1:1" x14ac:dyDescent="0.3">
      <c r="A454"/>
    </row>
    <row r="455" spans="1:1" x14ac:dyDescent="0.3">
      <c r="A455"/>
    </row>
    <row r="456" spans="1:1" x14ac:dyDescent="0.3">
      <c r="A456"/>
    </row>
    <row r="457" spans="1:1" x14ac:dyDescent="0.3">
      <c r="A457"/>
    </row>
    <row r="458" spans="1:1" x14ac:dyDescent="0.3">
      <c r="A458"/>
    </row>
    <row r="459" spans="1:1" x14ac:dyDescent="0.3">
      <c r="A459"/>
    </row>
    <row r="460" spans="1:1" x14ac:dyDescent="0.3">
      <c r="A460"/>
    </row>
    <row r="461" spans="1:1" x14ac:dyDescent="0.3">
      <c r="A461"/>
    </row>
    <row r="462" spans="1:1" x14ac:dyDescent="0.3">
      <c r="A462"/>
    </row>
    <row r="463" spans="1:1" x14ac:dyDescent="0.3">
      <c r="A463"/>
    </row>
    <row r="464" spans="1:1" x14ac:dyDescent="0.3">
      <c r="A464"/>
    </row>
    <row r="465" spans="1:1" x14ac:dyDescent="0.3">
      <c r="A465"/>
    </row>
    <row r="466" spans="1:1" x14ac:dyDescent="0.3">
      <c r="A466"/>
    </row>
    <row r="467" spans="1:1" x14ac:dyDescent="0.3">
      <c r="A467"/>
    </row>
    <row r="468" spans="1:1" x14ac:dyDescent="0.3">
      <c r="A468"/>
    </row>
    <row r="469" spans="1:1" x14ac:dyDescent="0.3">
      <c r="A469"/>
    </row>
    <row r="470" spans="1:1" x14ac:dyDescent="0.3">
      <c r="A470"/>
    </row>
    <row r="471" spans="1:1" x14ac:dyDescent="0.3">
      <c r="A471"/>
    </row>
    <row r="472" spans="1:1" x14ac:dyDescent="0.3">
      <c r="A472"/>
    </row>
    <row r="473" spans="1:1" x14ac:dyDescent="0.3">
      <c r="A473"/>
    </row>
    <row r="474" spans="1:1" x14ac:dyDescent="0.3">
      <c r="A474"/>
    </row>
    <row r="475" spans="1:1" x14ac:dyDescent="0.3">
      <c r="A475"/>
    </row>
    <row r="476" spans="1:1" x14ac:dyDescent="0.3">
      <c r="A476"/>
    </row>
    <row r="477" spans="1:1" x14ac:dyDescent="0.3">
      <c r="A477"/>
    </row>
    <row r="478" spans="1:1" x14ac:dyDescent="0.3">
      <c r="A478"/>
    </row>
    <row r="479" spans="1:1" x14ac:dyDescent="0.3">
      <c r="A479"/>
    </row>
    <row r="480" spans="1:1" x14ac:dyDescent="0.3">
      <c r="A480"/>
    </row>
    <row r="481" spans="1:1" x14ac:dyDescent="0.3">
      <c r="A481"/>
    </row>
    <row r="482" spans="1:1" x14ac:dyDescent="0.3">
      <c r="A482"/>
    </row>
    <row r="483" spans="1:1" x14ac:dyDescent="0.3">
      <c r="A483"/>
    </row>
    <row r="484" spans="1:1" x14ac:dyDescent="0.3">
      <c r="A484"/>
    </row>
    <row r="485" spans="1:1" x14ac:dyDescent="0.3">
      <c r="A485"/>
    </row>
    <row r="486" spans="1:1" x14ac:dyDescent="0.3">
      <c r="A486"/>
    </row>
    <row r="487" spans="1:1" x14ac:dyDescent="0.3">
      <c r="A487"/>
    </row>
    <row r="488" spans="1:1" x14ac:dyDescent="0.3">
      <c r="A488"/>
    </row>
    <row r="489" spans="1:1" x14ac:dyDescent="0.3">
      <c r="A489"/>
    </row>
    <row r="490" spans="1:1" x14ac:dyDescent="0.3">
      <c r="A490"/>
    </row>
    <row r="491" spans="1:1" x14ac:dyDescent="0.3">
      <c r="A491"/>
    </row>
    <row r="492" spans="1:1" x14ac:dyDescent="0.3">
      <c r="A492"/>
    </row>
    <row r="493" spans="1:1" x14ac:dyDescent="0.3">
      <c r="A493"/>
    </row>
    <row r="494" spans="1:1" x14ac:dyDescent="0.3">
      <c r="A494"/>
    </row>
    <row r="495" spans="1:1" x14ac:dyDescent="0.3">
      <c r="A495"/>
    </row>
    <row r="496" spans="1:1" x14ac:dyDescent="0.3">
      <c r="A496"/>
    </row>
  </sheetData>
  <pageMargins left="0.7" right="0.7" top="0.75" bottom="0.75" header="0.3" footer="0.3"/>
  <drawing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11AD-0D31-4186-9B0A-302B8CF6AAA7}">
  <dimension ref="A1:P496"/>
  <sheetViews>
    <sheetView zoomScale="106" zoomScaleNormal="100" workbookViewId="0">
      <selection activeCell="I16" sqref="I16:J16"/>
    </sheetView>
  </sheetViews>
  <sheetFormatPr baseColWidth="10" defaultColWidth="11.33203125" defaultRowHeight="14.4" x14ac:dyDescent="0.3"/>
  <cols>
    <col min="1" max="1" width="22.109375" style="58" bestFit="1" customWidth="1"/>
    <col min="2" max="2" width="15.5546875" style="58" customWidth="1"/>
    <col min="3" max="3" width="23.77734375" style="108" customWidth="1"/>
    <col min="4" max="4" width="27.6640625" style="15" customWidth="1"/>
    <col min="6" max="6" width="18.109375" customWidth="1"/>
    <col min="7" max="11" width="10.109375" bestFit="1" customWidth="1"/>
    <col min="13" max="13" width="18.109375" customWidth="1"/>
    <col min="14" max="14" width="21.109375" bestFit="1" customWidth="1"/>
    <col min="15" max="16" width="46.109375" bestFit="1" customWidth="1"/>
    <col min="17" max="17" width="12.109375" bestFit="1" customWidth="1"/>
    <col min="18" max="18" width="18.77734375" bestFit="1" customWidth="1"/>
    <col min="19" max="19" width="25" bestFit="1" customWidth="1"/>
    <col min="20" max="20" width="18.109375" bestFit="1" customWidth="1"/>
  </cols>
  <sheetData>
    <row r="1" spans="1:16" s="107" customFormat="1" ht="25.8" thickBot="1" x14ac:dyDescent="0.35">
      <c r="A1" s="113" t="s">
        <v>616</v>
      </c>
      <c r="B1" s="113" t="s">
        <v>618</v>
      </c>
      <c r="C1" s="113" t="s">
        <v>803</v>
      </c>
      <c r="D1" s="113" t="s">
        <v>804</v>
      </c>
      <c r="P1" s="114"/>
    </row>
    <row r="2" spans="1:16" ht="25.8" thickBot="1" x14ac:dyDescent="0.35">
      <c r="A2" s="115" t="s">
        <v>646</v>
      </c>
      <c r="B2" s="115" t="s">
        <v>648</v>
      </c>
      <c r="C2" s="117" cm="1">
        <f t="array" aca="1" ref="C2" ca="1">_xlfn.XLOOKUP(Tableau1689[[#This Row],[Bloc de critères]] &amp; Tableau1689[[#This Row],[Rubrique]], INDIRECT($O$3&amp;"!A:A") &amp; INDIRECT($O$3&amp;"!B:B"), INDIRECT($O$3&amp;"!F:F"), "Non trouvé")</f>
        <v>0</v>
      </c>
      <c r="D2" s="116" t="str" cm="1">
        <f t="array" aca="1" ref="D2" ca="1">_xlfn.XLOOKUP(Tableau1689[[#This Row],[Bloc de critères]] &amp; Tableau1689[[#This Row],[Rubrique]], INDIRECT($O$3&amp;"!A:A") &amp; INDIRECT($O$3&amp;"!B:B"), INDIRECT($O$3&amp;"!J:J"), "Non trouvé")</f>
        <v>Non appliqué</v>
      </c>
      <c r="G2" s="79" t="s">
        <v>805</v>
      </c>
      <c r="H2" s="79" t="s">
        <v>806</v>
      </c>
      <c r="I2" s="79" t="s">
        <v>807</v>
      </c>
      <c r="J2" s="79" t="s">
        <v>808</v>
      </c>
      <c r="K2" s="79" t="s">
        <v>809</v>
      </c>
      <c r="P2" s="15"/>
    </row>
    <row r="3" spans="1:16" ht="25.8" thickBot="1" x14ac:dyDescent="0.35">
      <c r="A3" s="115" t="s">
        <v>646</v>
      </c>
      <c r="B3" s="115" t="s">
        <v>652</v>
      </c>
      <c r="C3" s="117" cm="1">
        <f t="array" aca="1" ref="C3" ca="1">_xlfn.XLOOKUP(Tableau1689[[#This Row],[Bloc de critères]] &amp; Tableau1689[[#This Row],[Rubrique]], INDIRECT($O$3&amp;"!A:A") &amp; INDIRECT($O$3&amp;"!B:B"), INDIRECT($O$3&amp;"!F:F"), "Non trouvé")</f>
        <v>0</v>
      </c>
      <c r="D3" s="116" t="str" cm="1">
        <f t="array" aca="1" ref="D3" ca="1">_xlfn.XLOOKUP(Tableau1689[[#This Row],[Bloc de critères]] &amp; Tableau1689[[#This Row],[Rubrique]], INDIRECT($O$3&amp;"!A:A") &amp; INDIRECT($O$3&amp;"!B:B"), INDIRECT($O$3&amp;"!J:J"), "Non trouvé")</f>
        <v>Non appliqué</v>
      </c>
      <c r="G3" s="79" t="s">
        <v>37</v>
      </c>
      <c r="H3" s="79" t="s">
        <v>38</v>
      </c>
      <c r="I3" s="79" t="s">
        <v>39</v>
      </c>
      <c r="J3" s="79" t="s">
        <v>40</v>
      </c>
      <c r="K3" s="79" t="s">
        <v>41</v>
      </c>
      <c r="M3" s="79" t="s">
        <v>810</v>
      </c>
      <c r="N3" s="80" t="str">
        <f>G3</f>
        <v>Hôtel 5 étoiles</v>
      </c>
      <c r="O3" t="str">
        <f>INDEX(G2:K2,MATCH(N3,G3:K3,0))</f>
        <v>grille_ht5</v>
      </c>
      <c r="P3" s="15"/>
    </row>
    <row r="4" spans="1:16" ht="38.4" thickBot="1" x14ac:dyDescent="0.35">
      <c r="A4" s="115" t="s">
        <v>653</v>
      </c>
      <c r="B4" s="115" t="s">
        <v>654</v>
      </c>
      <c r="C4" s="117" cm="1">
        <f t="array" aca="1" ref="C4" ca="1">_xlfn.XLOOKUP(Tableau1689[[#This Row],[Bloc de critères]] &amp; Tableau1689[[#This Row],[Rubrique]], INDIRECT($O$3&amp;"!A:A") &amp; INDIRECT($O$3&amp;"!B:B"), INDIRECT($O$3&amp;"!F:F"), "Non trouvé")</f>
        <v>0</v>
      </c>
      <c r="D4" s="116" cm="1">
        <f t="array" aca="1" ref="D4" ca="1">_xlfn.XLOOKUP(Tableau1689[[#This Row],[Bloc de critères]] &amp; Tableau1689[[#This Row],[Rubrique]], INDIRECT($O$3&amp;"!A:A") &amp; INDIRECT($O$3&amp;"!B:B"), INDIRECT($O$3&amp;"!J:J"), "Non trouvé")</f>
        <v>0</v>
      </c>
      <c r="G4">
        <v>5</v>
      </c>
      <c r="H4">
        <v>4</v>
      </c>
      <c r="I4">
        <v>3</v>
      </c>
      <c r="J4">
        <v>2</v>
      </c>
      <c r="K4">
        <v>1</v>
      </c>
      <c r="M4" s="79" t="s">
        <v>811</v>
      </c>
      <c r="N4" s="80">
        <f ca="1">_xlfn.XLOOKUP(N3,G3:K3,G5:K5)</f>
        <v>0</v>
      </c>
      <c r="P4" s="15"/>
    </row>
    <row r="5" spans="1:16" ht="38.4" thickBot="1" x14ac:dyDescent="0.35">
      <c r="A5" s="115" t="s">
        <v>653</v>
      </c>
      <c r="B5" s="115" t="s">
        <v>657</v>
      </c>
      <c r="C5" s="117" cm="1">
        <f t="array" aca="1" ref="C5" ca="1">_xlfn.XLOOKUP(Tableau1689[[#This Row],[Bloc de critères]] &amp; Tableau1689[[#This Row],[Rubrique]], INDIRECT($O$3&amp;"!A:A") &amp; INDIRECT($O$3&amp;"!B:B"), INDIRECT($O$3&amp;"!F:F"), "Non trouvé")</f>
        <v>0</v>
      </c>
      <c r="D5" s="116" cm="1">
        <f t="array" aca="1" ref="D5" ca="1">_xlfn.XLOOKUP(Tableau1689[[#This Row],[Bloc de critères]] &amp; Tableau1689[[#This Row],[Rubrique]], INDIRECT($O$3&amp;"!A:A") &amp; INDIRECT($O$3&amp;"!B:B"), INDIRECT($O$3&amp;"!J:J"), "Non trouvé")</f>
        <v>0</v>
      </c>
      <c r="F5" s="79" t="s">
        <v>812</v>
      </c>
      <c r="G5" s="81">
        <f ca="1">SUM(Grille_HT5!U2:U91)</f>
        <v>0</v>
      </c>
      <c r="H5" s="81">
        <f ca="1">SUM(Grille_HT4!U2:U91)</f>
        <v>0</v>
      </c>
      <c r="I5" s="81">
        <f ca="1">SUM(Grille_HT3!U2:U91)</f>
        <v>0</v>
      </c>
      <c r="J5" s="81">
        <f ca="1">SUM(Grille_HT2!U2:U91)</f>
        <v>0</v>
      </c>
      <c r="K5" s="81">
        <f ca="1">SUM(Grille_HT1!U2:U91)</f>
        <v>0</v>
      </c>
      <c r="M5" s="79" t="s">
        <v>813</v>
      </c>
      <c r="N5" s="80">
        <f ca="1">_xlfn.XLOOKUP(N3,G3:K3,G6:K6)</f>
        <v>0</v>
      </c>
    </row>
    <row r="6" spans="1:16" ht="38.4" thickBot="1" x14ac:dyDescent="0.35">
      <c r="A6" s="115" t="s">
        <v>653</v>
      </c>
      <c r="B6" s="115" t="s">
        <v>658</v>
      </c>
      <c r="C6" s="117" cm="1">
        <f t="array" aca="1" ref="C6" ca="1">_xlfn.XLOOKUP(Tableau1689[[#This Row],[Bloc de critères]] &amp; Tableau1689[[#This Row],[Rubrique]], INDIRECT($O$3&amp;"!A:A") &amp; INDIRECT($O$3&amp;"!B:B"), INDIRECT($O$3&amp;"!F:F"), "Non trouvé")</f>
        <v>0</v>
      </c>
      <c r="D6" s="116" t="str" cm="1">
        <f t="array" aca="1" ref="D6" ca="1">_xlfn.XLOOKUP(Tableau1689[[#This Row],[Bloc de critères]] &amp; Tableau1689[[#This Row],[Rubrique]], INDIRECT($O$3&amp;"!A:A") &amp; INDIRECT($O$3&amp;"!B:B"), INDIRECT($O$3&amp;"!J:J"), "Non trouvé")</f>
        <v>Non appliqué</v>
      </c>
      <c r="F6" s="79" t="s">
        <v>814</v>
      </c>
      <c r="G6" s="81">
        <f ca="1">SUM(Grille_HT5!X2:X91)</f>
        <v>0</v>
      </c>
      <c r="H6" s="81">
        <f ca="1">SUM(Grille_HT4!X2:X91)</f>
        <v>0</v>
      </c>
      <c r="I6" s="81">
        <f ca="1">SUM(Grille_HT3!X2:X91)</f>
        <v>0</v>
      </c>
      <c r="J6" s="81">
        <f ca="1">SUM(Grille_HT2!X2:X91)</f>
        <v>0</v>
      </c>
      <c r="K6" s="81">
        <f ca="1">SUM(Grille_HT1!X2:X91)</f>
        <v>0</v>
      </c>
      <c r="O6" s="15"/>
    </row>
    <row r="7" spans="1:16" ht="15" thickBot="1" x14ac:dyDescent="0.35">
      <c r="A7" s="115" t="s">
        <v>659</v>
      </c>
      <c r="B7" s="115" t="s">
        <v>661</v>
      </c>
      <c r="C7" s="117" cm="1">
        <f t="array" aca="1" ref="C7" ca="1">_xlfn.XLOOKUP(Tableau1689[[#This Row],[Bloc de critères]] &amp; Tableau1689[[#This Row],[Rubrique]], INDIRECT($O$3&amp;"!A:A") &amp; INDIRECT($O$3&amp;"!B:B"), INDIRECT($O$3&amp;"!F:F"), "Non trouvé")</f>
        <v>0</v>
      </c>
      <c r="D7" s="116" t="str" cm="1">
        <f t="array" aca="1" ref="D7" ca="1">_xlfn.XLOOKUP(Tableau1689[[#This Row],[Bloc de critères]] &amp; Tableau1689[[#This Row],[Rubrique]], INDIRECT($O$3&amp;"!A:A") &amp; INDIRECT($O$3&amp;"!B:B"), INDIRECT($O$3&amp;"!J:J"), "Non trouvé")</f>
        <v>Non appliqué</v>
      </c>
      <c r="F7" s="79" t="s">
        <v>815</v>
      </c>
      <c r="G7" s="81">
        <f ca="1">AVERAGE(G5:G6)</f>
        <v>0</v>
      </c>
      <c r="H7" s="81">
        <f t="shared" ref="H7:K7" ca="1" si="0">AVERAGE(H5:H6)</f>
        <v>0</v>
      </c>
      <c r="I7" s="81">
        <f t="shared" ca="1" si="0"/>
        <v>0</v>
      </c>
      <c r="J7" s="81">
        <f t="shared" ca="1" si="0"/>
        <v>0</v>
      </c>
      <c r="K7" s="81">
        <f t="shared" ca="1" si="0"/>
        <v>0</v>
      </c>
    </row>
    <row r="8" spans="1:16" ht="22.8" x14ac:dyDescent="0.3">
      <c r="A8" s="115" t="s">
        <v>659</v>
      </c>
      <c r="B8" s="115" t="s">
        <v>662</v>
      </c>
      <c r="C8" s="117" cm="1">
        <f t="array" aca="1" ref="C8" ca="1">_xlfn.XLOOKUP(Tableau1689[[#This Row],[Bloc de critères]] &amp; Tableau1689[[#This Row],[Rubrique]], INDIRECT($O$3&amp;"!A:A") &amp; INDIRECT($O$3&amp;"!B:B"), INDIRECT($O$3&amp;"!F:F"), "Non trouvé")</f>
        <v>0</v>
      </c>
      <c r="D8" s="116" cm="1">
        <f t="array" aca="1" ref="D8" ca="1">_xlfn.XLOOKUP(Tableau1689[[#This Row],[Bloc de critères]] &amp; Tableau1689[[#This Row],[Rubrique]], INDIRECT($O$3&amp;"!A:A") &amp; INDIRECT($O$3&amp;"!B:B"), INDIRECT($O$3&amp;"!J:J"), "Non trouvé")</f>
        <v>0</v>
      </c>
    </row>
    <row r="9" spans="1:16" x14ac:dyDescent="0.3">
      <c r="A9" s="115" t="s">
        <v>659</v>
      </c>
      <c r="B9" s="115" t="s">
        <v>664</v>
      </c>
      <c r="C9" s="117" cm="1">
        <f t="array" aca="1" ref="C9" ca="1">_xlfn.XLOOKUP(Tableau1689[[#This Row],[Bloc de critères]] &amp; Tableau1689[[#This Row],[Rubrique]], INDIRECT($O$3&amp;"!A:A") &amp; INDIRECT($O$3&amp;"!B:B"), INDIRECT($O$3&amp;"!F:F"), "Non trouvé")</f>
        <v>0</v>
      </c>
      <c r="D9" s="116" cm="1">
        <f t="array" aca="1" ref="D9" ca="1">_xlfn.XLOOKUP(Tableau1689[[#This Row],[Bloc de critères]] &amp; Tableau1689[[#This Row],[Rubrique]], INDIRECT($O$3&amp;"!A:A") &amp; INDIRECT($O$3&amp;"!B:B"), INDIRECT($O$3&amp;"!J:J"), "Non trouvé")</f>
        <v>0</v>
      </c>
    </row>
    <row r="10" spans="1:16" x14ac:dyDescent="0.3">
      <c r="A10" s="115" t="s">
        <v>659</v>
      </c>
      <c r="B10" s="115" t="s">
        <v>667</v>
      </c>
      <c r="C10" s="117" cm="1">
        <f t="array" aca="1" ref="C10" ca="1">_xlfn.XLOOKUP(Tableau1689[[#This Row],[Bloc de critères]] &amp; Tableau1689[[#This Row],[Rubrique]], INDIRECT($O$3&amp;"!A:A") &amp; INDIRECT($O$3&amp;"!B:B"), INDIRECT($O$3&amp;"!F:F"), "Non trouvé")</f>
        <v>0</v>
      </c>
      <c r="D10" s="116" t="str" cm="1">
        <f t="array" aca="1" ref="D10" ca="1">_xlfn.XLOOKUP(Tableau1689[[#This Row],[Bloc de critères]] &amp; Tableau1689[[#This Row],[Rubrique]], INDIRECT($O$3&amp;"!A:A") &amp; INDIRECT($O$3&amp;"!B:B"), INDIRECT($O$3&amp;"!J:J"), "Non trouvé")</f>
        <v>Non appliqué</v>
      </c>
    </row>
    <row r="11" spans="1:16" x14ac:dyDescent="0.3">
      <c r="A11" s="115" t="s">
        <v>659</v>
      </c>
      <c r="B11" s="115" t="s">
        <v>668</v>
      </c>
      <c r="C11" s="117" cm="1">
        <f t="array" aca="1" ref="C11" ca="1">_xlfn.XLOOKUP(Tableau1689[[#This Row],[Bloc de critères]] &amp; Tableau1689[[#This Row],[Rubrique]], INDIRECT($O$3&amp;"!A:A") &amp; INDIRECT($O$3&amp;"!B:B"), INDIRECT($O$3&amp;"!F:F"), "Non trouvé")</f>
        <v>0</v>
      </c>
      <c r="D11" s="116" t="str" cm="1">
        <f t="array" aca="1" ref="D11" ca="1">_xlfn.XLOOKUP(Tableau1689[[#This Row],[Bloc de critères]] &amp; Tableau1689[[#This Row],[Rubrique]], INDIRECT($O$3&amp;"!A:A") &amp; INDIRECT($O$3&amp;"!B:B"), INDIRECT($O$3&amp;"!J:J"), "Non trouvé")</f>
        <v>Non appliqué</v>
      </c>
    </row>
    <row r="12" spans="1:16" x14ac:dyDescent="0.3">
      <c r="A12" s="115" t="s">
        <v>669</v>
      </c>
      <c r="B12" s="115" t="s">
        <v>671</v>
      </c>
      <c r="C12" s="117" cm="1">
        <f t="array" aca="1" ref="C12" ca="1">_xlfn.XLOOKUP(Tableau1689[[#This Row],[Bloc de critères]] &amp; Tableau1689[[#This Row],[Rubrique]], INDIRECT($O$3&amp;"!A:A") &amp; INDIRECT($O$3&amp;"!B:B"), INDIRECT($O$3&amp;"!F:F"), "Non trouvé")</f>
        <v>0</v>
      </c>
      <c r="D12" s="116" cm="1">
        <f t="array" aca="1" ref="D12" ca="1">_xlfn.XLOOKUP(Tableau1689[[#This Row],[Bloc de critères]] &amp; Tableau1689[[#This Row],[Rubrique]], INDIRECT($O$3&amp;"!A:A") &amp; INDIRECT($O$3&amp;"!B:B"), INDIRECT($O$3&amp;"!J:J"), "Non trouvé")</f>
        <v>0</v>
      </c>
    </row>
    <row r="13" spans="1:16" ht="22.8" x14ac:dyDescent="0.3">
      <c r="A13" s="115" t="s">
        <v>669</v>
      </c>
      <c r="B13" s="115" t="s">
        <v>673</v>
      </c>
      <c r="C13" s="117" cm="1">
        <f t="array" aca="1" ref="C13" ca="1">_xlfn.XLOOKUP(Tableau1689[[#This Row],[Bloc de critères]] &amp; Tableau1689[[#This Row],[Rubrique]], INDIRECT($O$3&amp;"!A:A") &amp; INDIRECT($O$3&amp;"!B:B"), INDIRECT($O$3&amp;"!F:F"), "Non trouvé")</f>
        <v>0</v>
      </c>
      <c r="D13" s="116" cm="1">
        <f t="array" aca="1" ref="D13" ca="1">_xlfn.XLOOKUP(Tableau1689[[#This Row],[Bloc de critères]] &amp; Tableau1689[[#This Row],[Rubrique]], INDIRECT($O$3&amp;"!A:A") &amp; INDIRECT($O$3&amp;"!B:B"), INDIRECT($O$3&amp;"!J:J"), "Non trouvé")</f>
        <v>0</v>
      </c>
    </row>
    <row r="14" spans="1:16" x14ac:dyDescent="0.3">
      <c r="A14" s="115" t="s">
        <v>669</v>
      </c>
      <c r="B14" s="115" t="s">
        <v>675</v>
      </c>
      <c r="C14" s="117" cm="1">
        <f t="array" aca="1" ref="C14" ca="1">_xlfn.XLOOKUP(Tableau1689[[#This Row],[Bloc de critères]] &amp; Tableau1689[[#This Row],[Rubrique]], INDIRECT($O$3&amp;"!A:A") &amp; INDIRECT($O$3&amp;"!B:B"), INDIRECT($O$3&amp;"!F:F"), "Non trouvé")</f>
        <v>0</v>
      </c>
      <c r="D14" s="116" cm="1">
        <f t="array" aca="1" ref="D14" ca="1">_xlfn.XLOOKUP(Tableau1689[[#This Row],[Bloc de critères]] &amp; Tableau1689[[#This Row],[Rubrique]], INDIRECT($O$3&amp;"!A:A") &amp; INDIRECT($O$3&amp;"!B:B"), INDIRECT($O$3&amp;"!J:J"), "Non trouvé")</f>
        <v>0</v>
      </c>
    </row>
    <row r="15" spans="1:16" ht="22.8" x14ac:dyDescent="0.3">
      <c r="A15" s="115" t="s">
        <v>676</v>
      </c>
      <c r="B15" s="115" t="s">
        <v>677</v>
      </c>
      <c r="C15" s="117" cm="1">
        <f t="array" aca="1" ref="C15" ca="1">_xlfn.XLOOKUP(Tableau1689[[#This Row],[Bloc de critères]] &amp; Tableau1689[[#This Row],[Rubrique]], INDIRECT($O$3&amp;"!A:A") &amp; INDIRECT($O$3&amp;"!B:B"), INDIRECT($O$3&amp;"!F:F"), "Non trouvé")</f>
        <v>0</v>
      </c>
      <c r="D15" s="116" cm="1">
        <f t="array" aca="1" ref="D15" ca="1">_xlfn.XLOOKUP(Tableau1689[[#This Row],[Bloc de critères]] &amp; Tableau1689[[#This Row],[Rubrique]], INDIRECT($O$3&amp;"!A:A") &amp; INDIRECT($O$3&amp;"!B:B"), INDIRECT($O$3&amp;"!J:J"), "Non trouvé")</f>
        <v>0</v>
      </c>
    </row>
    <row r="16" spans="1:16" x14ac:dyDescent="0.3">
      <c r="A16" s="115" t="s">
        <v>676</v>
      </c>
      <c r="B16" s="115" t="s">
        <v>678</v>
      </c>
      <c r="C16" s="117" cm="1">
        <f t="array" aca="1" ref="C16" ca="1">_xlfn.XLOOKUP(Tableau1689[[#This Row],[Bloc de critères]] &amp; Tableau1689[[#This Row],[Rubrique]], INDIRECT($O$3&amp;"!A:A") &amp; INDIRECT($O$3&amp;"!B:B"), INDIRECT($O$3&amp;"!F:F"), "Non trouvé")</f>
        <v>0</v>
      </c>
      <c r="D16" s="116" t="str" cm="1">
        <f t="array" aca="1" ref="D16" ca="1">_xlfn.XLOOKUP(Tableau1689[[#This Row],[Bloc de critères]] &amp; Tableau1689[[#This Row],[Rubrique]], INDIRECT($O$3&amp;"!A:A") &amp; INDIRECT($O$3&amp;"!B:B"), INDIRECT($O$3&amp;"!J:J"), "Non trouvé")</f>
        <v>Non appliqué</v>
      </c>
    </row>
    <row r="17" spans="1:4" x14ac:dyDescent="0.3">
      <c r="A17" s="115" t="s">
        <v>680</v>
      </c>
      <c r="B17" s="115" t="s">
        <v>682</v>
      </c>
      <c r="C17" s="117" cm="1">
        <f t="array" aca="1" ref="C17" ca="1">_xlfn.XLOOKUP(Tableau1689[[#This Row],[Bloc de critères]] &amp; Tableau1689[[#This Row],[Rubrique]], INDIRECT($O$3&amp;"!A:A") &amp; INDIRECT($O$3&amp;"!B:B"), INDIRECT($O$3&amp;"!F:F"), "Non trouvé")</f>
        <v>0</v>
      </c>
      <c r="D17" s="116" cm="1">
        <f t="array" aca="1" ref="D17" ca="1">_xlfn.XLOOKUP(Tableau1689[[#This Row],[Bloc de critères]] &amp; Tableau1689[[#This Row],[Rubrique]], INDIRECT($O$3&amp;"!A:A") &amp; INDIRECT($O$3&amp;"!B:B"), INDIRECT($O$3&amp;"!J:J"), "Non trouvé")</f>
        <v>0</v>
      </c>
    </row>
    <row r="18" spans="1:4" ht="22.8" x14ac:dyDescent="0.3">
      <c r="A18" s="115" t="s">
        <v>680</v>
      </c>
      <c r="B18" s="115" t="s">
        <v>685</v>
      </c>
      <c r="C18" s="117" cm="1">
        <f t="array" aca="1" ref="C18" ca="1">_xlfn.XLOOKUP(Tableau1689[[#This Row],[Bloc de critères]] &amp; Tableau1689[[#This Row],[Rubrique]], INDIRECT($O$3&amp;"!A:A") &amp; INDIRECT($O$3&amp;"!B:B"), INDIRECT($O$3&amp;"!F:F"), "Non trouvé")</f>
        <v>0</v>
      </c>
      <c r="D18" s="116" t="str" cm="1">
        <f t="array" aca="1" ref="D18" ca="1">_xlfn.XLOOKUP(Tableau1689[[#This Row],[Bloc de critères]] &amp; Tableau1689[[#This Row],[Rubrique]], INDIRECT($O$3&amp;"!A:A") &amp; INDIRECT($O$3&amp;"!B:B"), INDIRECT($O$3&amp;"!J:J"), "Non trouvé")</f>
        <v>Non appliqué</v>
      </c>
    </row>
    <row r="19" spans="1:4" x14ac:dyDescent="0.3">
      <c r="A19" s="115" t="s">
        <v>686</v>
      </c>
      <c r="B19" s="115" t="s">
        <v>682</v>
      </c>
      <c r="C19" s="117" cm="1">
        <f t="array" aca="1" ref="C19" ca="1">_xlfn.XLOOKUP(Tableau1689[[#This Row],[Bloc de critères]] &amp; Tableau1689[[#This Row],[Rubrique]], INDIRECT($O$3&amp;"!A:A") &amp; INDIRECT($O$3&amp;"!B:B"), INDIRECT($O$3&amp;"!F:F"), "Non trouvé")</f>
        <v>0</v>
      </c>
      <c r="D19" s="116" cm="1">
        <f t="array" aca="1" ref="D19" ca="1">_xlfn.XLOOKUP(Tableau1689[[#This Row],[Bloc de critères]] &amp; Tableau1689[[#This Row],[Rubrique]], INDIRECT($O$3&amp;"!A:A") &amp; INDIRECT($O$3&amp;"!B:B"), INDIRECT($O$3&amp;"!J:J"), "Non trouvé")</f>
        <v>0</v>
      </c>
    </row>
    <row r="20" spans="1:4" ht="22.8" x14ac:dyDescent="0.3">
      <c r="A20" s="115" t="s">
        <v>686</v>
      </c>
      <c r="B20" s="115" t="s">
        <v>685</v>
      </c>
      <c r="C20" s="117" cm="1">
        <f t="array" aca="1" ref="C20" ca="1">_xlfn.XLOOKUP(Tableau1689[[#This Row],[Bloc de critères]] &amp; Tableau1689[[#This Row],[Rubrique]], INDIRECT($O$3&amp;"!A:A") &amp; INDIRECT($O$3&amp;"!B:B"), INDIRECT($O$3&amp;"!F:F"), "Non trouvé")</f>
        <v>0</v>
      </c>
      <c r="D20" s="116" t="str" cm="1">
        <f t="array" aca="1" ref="D20" ca="1">_xlfn.XLOOKUP(Tableau1689[[#This Row],[Bloc de critères]] &amp; Tableau1689[[#This Row],[Rubrique]], INDIRECT($O$3&amp;"!A:A") &amp; INDIRECT($O$3&amp;"!B:B"), INDIRECT($O$3&amp;"!J:J"), "Non trouvé")</f>
        <v>Non appliqué</v>
      </c>
    </row>
    <row r="21" spans="1:4" ht="22.8" x14ac:dyDescent="0.3">
      <c r="A21" s="115" t="s">
        <v>692</v>
      </c>
      <c r="B21" s="115" t="s">
        <v>682</v>
      </c>
      <c r="C21" s="117" cm="1">
        <f t="array" aca="1" ref="C21" ca="1">_xlfn.XLOOKUP(Tableau1689[[#This Row],[Bloc de critères]] &amp; Tableau1689[[#This Row],[Rubrique]], INDIRECT($O$3&amp;"!A:A") &amp; INDIRECT($O$3&amp;"!B:B"), INDIRECT($O$3&amp;"!F:F"), "Non trouvé")</f>
        <v>0</v>
      </c>
      <c r="D21" s="116" cm="1">
        <f t="array" aca="1" ref="D21" ca="1">_xlfn.XLOOKUP(Tableau1689[[#This Row],[Bloc de critères]] &amp; Tableau1689[[#This Row],[Rubrique]], INDIRECT($O$3&amp;"!A:A") &amp; INDIRECT($O$3&amp;"!B:B"), INDIRECT($O$3&amp;"!J:J"), "Non trouvé")</f>
        <v>0</v>
      </c>
    </row>
    <row r="22" spans="1:4" ht="22.8" x14ac:dyDescent="0.3">
      <c r="A22" s="115" t="s">
        <v>692</v>
      </c>
      <c r="B22" s="115" t="s">
        <v>685</v>
      </c>
      <c r="C22" s="117" cm="1">
        <f t="array" aca="1" ref="C22" ca="1">_xlfn.XLOOKUP(Tableau1689[[#This Row],[Bloc de critères]] &amp; Tableau1689[[#This Row],[Rubrique]], INDIRECT($O$3&amp;"!A:A") &amp; INDIRECT($O$3&amp;"!B:B"), INDIRECT($O$3&amp;"!F:F"), "Non trouvé")</f>
        <v>0</v>
      </c>
      <c r="D22" s="116" t="str" cm="1">
        <f t="array" aca="1" ref="D22" ca="1">_xlfn.XLOOKUP(Tableau1689[[#This Row],[Bloc de critères]] &amp; Tableau1689[[#This Row],[Rubrique]], INDIRECT($O$3&amp;"!A:A") &amp; INDIRECT($O$3&amp;"!B:B"), INDIRECT($O$3&amp;"!J:J"), "Non trouvé")</f>
        <v>Non appliqué</v>
      </c>
    </row>
    <row r="23" spans="1:4" x14ac:dyDescent="0.3">
      <c r="A23" s="115" t="s">
        <v>694</v>
      </c>
      <c r="B23" s="115" t="s">
        <v>682</v>
      </c>
      <c r="C23" s="117" cm="1">
        <f t="array" aca="1" ref="C23" ca="1">_xlfn.XLOOKUP(Tableau1689[[#This Row],[Bloc de critères]] &amp; Tableau1689[[#This Row],[Rubrique]], INDIRECT($O$3&amp;"!A:A") &amp; INDIRECT($O$3&amp;"!B:B"), INDIRECT($O$3&amp;"!F:F"), "Non trouvé")</f>
        <v>0</v>
      </c>
      <c r="D23" s="116" cm="1">
        <f t="array" aca="1" ref="D23" ca="1">_xlfn.XLOOKUP(Tableau1689[[#This Row],[Bloc de critères]] &amp; Tableau1689[[#This Row],[Rubrique]], INDIRECT($O$3&amp;"!A:A") &amp; INDIRECT($O$3&amp;"!B:B"), INDIRECT($O$3&amp;"!J:J"), "Non trouvé")</f>
        <v>0</v>
      </c>
    </row>
    <row r="24" spans="1:4" ht="22.8" x14ac:dyDescent="0.3">
      <c r="A24" s="115" t="s">
        <v>694</v>
      </c>
      <c r="B24" s="115" t="s">
        <v>685</v>
      </c>
      <c r="C24" s="117" cm="1">
        <f t="array" aca="1" ref="C24" ca="1">_xlfn.XLOOKUP(Tableau1689[[#This Row],[Bloc de critères]] &amp; Tableau1689[[#This Row],[Rubrique]], INDIRECT($O$3&amp;"!A:A") &amp; INDIRECT($O$3&amp;"!B:B"), INDIRECT($O$3&amp;"!F:F"), "Non trouvé")</f>
        <v>0</v>
      </c>
      <c r="D24" s="116" t="str" cm="1">
        <f t="array" aca="1" ref="D24" ca="1">_xlfn.XLOOKUP(Tableau1689[[#This Row],[Bloc de critères]] &amp; Tableau1689[[#This Row],[Rubrique]], INDIRECT($O$3&amp;"!A:A") &amp; INDIRECT($O$3&amp;"!B:B"), INDIRECT($O$3&amp;"!J:J"), "Non trouvé")</f>
        <v>Non appliqué</v>
      </c>
    </row>
    <row r="25" spans="1:4" ht="34.200000000000003" x14ac:dyDescent="0.3">
      <c r="A25" s="115" t="s">
        <v>699</v>
      </c>
      <c r="B25" s="115" t="s">
        <v>701</v>
      </c>
      <c r="C25" s="117" t="str" cm="1">
        <f t="array" aca="1" ref="C25" ca="1">_xlfn.XLOOKUP(Tableau1689[[#This Row],[Bloc de critères]] &amp; Tableau1689[[#This Row],[Rubrique]], INDIRECT($O$3&amp;"!A:A") &amp; INDIRECT($O$3&amp;"!B:B"), INDIRECT($O$3&amp;"!F:F"), "Non trouvé")</f>
        <v>Non appliqué</v>
      </c>
      <c r="D25" s="116" cm="1">
        <f t="array" aca="1" ref="D25" ca="1">_xlfn.XLOOKUP(Tableau1689[[#This Row],[Bloc de critères]] &amp; Tableau1689[[#This Row],[Rubrique]], INDIRECT($O$3&amp;"!A:A") &amp; INDIRECT($O$3&amp;"!B:B"), INDIRECT($O$3&amp;"!J:J"), "Non trouvé")</f>
        <v>0</v>
      </c>
    </row>
    <row r="26" spans="1:4" ht="34.200000000000003" x14ac:dyDescent="0.3">
      <c r="A26" s="115" t="s">
        <v>699</v>
      </c>
      <c r="B26" s="115" t="s">
        <v>702</v>
      </c>
      <c r="C26" s="117" t="str" cm="1">
        <f t="array" aca="1" ref="C26" ca="1">_xlfn.XLOOKUP(Tableau1689[[#This Row],[Bloc de critères]] &amp; Tableau1689[[#This Row],[Rubrique]], INDIRECT($O$3&amp;"!A:A") &amp; INDIRECT($O$3&amp;"!B:B"), INDIRECT($O$3&amp;"!F:F"), "Non trouvé")</f>
        <v>Non appliqué</v>
      </c>
      <c r="D26" s="116" cm="1">
        <f t="array" aca="1" ref="D26" ca="1">_xlfn.XLOOKUP(Tableau1689[[#This Row],[Bloc de critères]] &amp; Tableau1689[[#This Row],[Rubrique]], INDIRECT($O$3&amp;"!A:A") &amp; INDIRECT($O$3&amp;"!B:B"), INDIRECT($O$3&amp;"!J:J"), "Non trouvé")</f>
        <v>0</v>
      </c>
    </row>
    <row r="27" spans="1:4" ht="34.200000000000003" x14ac:dyDescent="0.3">
      <c r="A27" s="115" t="s">
        <v>699</v>
      </c>
      <c r="B27" s="115" t="s">
        <v>703</v>
      </c>
      <c r="C27" s="117" t="str" cm="1">
        <f t="array" aca="1" ref="C27" ca="1">_xlfn.XLOOKUP(Tableau1689[[#This Row],[Bloc de critères]] &amp; Tableau1689[[#This Row],[Rubrique]], INDIRECT($O$3&amp;"!A:A") &amp; INDIRECT($O$3&amp;"!B:B"), INDIRECT($O$3&amp;"!F:F"), "Non trouvé")</f>
        <v>Non appliqué</v>
      </c>
      <c r="D27" s="116" cm="1">
        <f t="array" aca="1" ref="D27" ca="1">_xlfn.XLOOKUP(Tableau1689[[#This Row],[Bloc de critères]] &amp; Tableau1689[[#This Row],[Rubrique]], INDIRECT($O$3&amp;"!A:A") &amp; INDIRECT($O$3&amp;"!B:B"), INDIRECT($O$3&amp;"!J:J"), "Non trouvé")</f>
        <v>0</v>
      </c>
    </row>
    <row r="28" spans="1:4" ht="22.8" x14ac:dyDescent="0.3">
      <c r="A28" s="115" t="s">
        <v>704</v>
      </c>
      <c r="B28" s="115" t="s">
        <v>706</v>
      </c>
      <c r="C28" s="117" t="str" cm="1">
        <f t="array" aca="1" ref="C28" ca="1">_xlfn.XLOOKUP(Tableau1689[[#This Row],[Bloc de critères]] &amp; Tableau1689[[#This Row],[Rubrique]], INDIRECT($O$3&amp;"!A:A") &amp; INDIRECT($O$3&amp;"!B:B"), INDIRECT($O$3&amp;"!F:F"), "Non trouvé")</f>
        <v>Non appliqué</v>
      </c>
      <c r="D28" s="116" cm="1">
        <f t="array" aca="1" ref="D28" ca="1">_xlfn.XLOOKUP(Tableau1689[[#This Row],[Bloc de critères]] &amp; Tableau1689[[#This Row],[Rubrique]], INDIRECT($O$3&amp;"!A:A") &amp; INDIRECT($O$3&amp;"!B:B"), INDIRECT($O$3&amp;"!J:J"), "Non trouvé")</f>
        <v>0</v>
      </c>
    </row>
    <row r="29" spans="1:4" x14ac:dyDescent="0.3">
      <c r="A29" s="115" t="s">
        <v>704</v>
      </c>
      <c r="B29" s="115" t="s">
        <v>707</v>
      </c>
      <c r="C29" s="117" t="str" cm="1">
        <f t="array" aca="1" ref="C29" ca="1">_xlfn.XLOOKUP(Tableau1689[[#This Row],[Bloc de critères]] &amp; Tableau1689[[#This Row],[Rubrique]], INDIRECT($O$3&amp;"!A:A") &amp; INDIRECT($O$3&amp;"!B:B"), INDIRECT($O$3&amp;"!F:F"), "Non trouvé")</f>
        <v>Non appliqué</v>
      </c>
      <c r="D29" s="116" cm="1">
        <f t="array" aca="1" ref="D29" ca="1">_xlfn.XLOOKUP(Tableau1689[[#This Row],[Bloc de critères]] &amp; Tableau1689[[#This Row],[Rubrique]], INDIRECT($O$3&amp;"!A:A") &amp; INDIRECT($O$3&amp;"!B:B"), INDIRECT($O$3&amp;"!J:J"), "Non trouvé")</f>
        <v>0</v>
      </c>
    </row>
    <row r="30" spans="1:4" x14ac:dyDescent="0.3">
      <c r="A30" s="115" t="s">
        <v>704</v>
      </c>
      <c r="B30" s="115" t="s">
        <v>709</v>
      </c>
      <c r="C30" s="117" t="str" cm="1">
        <f t="array" aca="1" ref="C30" ca="1">_xlfn.XLOOKUP(Tableau1689[[#This Row],[Bloc de critères]] &amp; Tableau1689[[#This Row],[Rubrique]], INDIRECT($O$3&amp;"!A:A") &amp; INDIRECT($O$3&amp;"!B:B"), INDIRECT($O$3&amp;"!F:F"), "Non trouvé")</f>
        <v>Non appliqué</v>
      </c>
      <c r="D30" s="116" cm="1">
        <f t="array" aca="1" ref="D30" ca="1">_xlfn.XLOOKUP(Tableau1689[[#This Row],[Bloc de critères]] &amp; Tableau1689[[#This Row],[Rubrique]], INDIRECT($O$3&amp;"!A:A") &amp; INDIRECT($O$3&amp;"!B:B"), INDIRECT($O$3&amp;"!J:J"), "Non trouvé")</f>
        <v>0</v>
      </c>
    </row>
    <row r="31" spans="1:4" x14ac:dyDescent="0.3">
      <c r="A31" s="115" t="s">
        <v>704</v>
      </c>
      <c r="B31" s="115" t="s">
        <v>710</v>
      </c>
      <c r="C31" s="117" t="str" cm="1">
        <f t="array" aca="1" ref="C31" ca="1">_xlfn.XLOOKUP(Tableau1689[[#This Row],[Bloc de critères]] &amp; Tableau1689[[#This Row],[Rubrique]], INDIRECT($O$3&amp;"!A:A") &amp; INDIRECT($O$3&amp;"!B:B"), INDIRECT($O$3&amp;"!F:F"), "Non trouvé")</f>
        <v>Non appliqué</v>
      </c>
      <c r="D31" s="116" cm="1">
        <f t="array" aca="1" ref="D31" ca="1">_xlfn.XLOOKUP(Tableau1689[[#This Row],[Bloc de critères]] &amp; Tableau1689[[#This Row],[Rubrique]], INDIRECT($O$3&amp;"!A:A") &amp; INDIRECT($O$3&amp;"!B:B"), INDIRECT($O$3&amp;"!J:J"), "Non trouvé")</f>
        <v>0</v>
      </c>
    </row>
    <row r="32" spans="1:4" x14ac:dyDescent="0.3">
      <c r="A32" s="115" t="s">
        <v>704</v>
      </c>
      <c r="B32" s="115" t="s">
        <v>712</v>
      </c>
      <c r="C32" s="117" t="str" cm="1">
        <f t="array" aca="1" ref="C32" ca="1">_xlfn.XLOOKUP(Tableau1689[[#This Row],[Bloc de critères]] &amp; Tableau1689[[#This Row],[Rubrique]], INDIRECT($O$3&amp;"!A:A") &amp; INDIRECT($O$3&amp;"!B:B"), INDIRECT($O$3&amp;"!F:F"), "Non trouvé")</f>
        <v>Non appliqué</v>
      </c>
      <c r="D32" s="116" cm="1">
        <f t="array" aca="1" ref="D32" ca="1">_xlfn.XLOOKUP(Tableau1689[[#This Row],[Bloc de critères]] &amp; Tableau1689[[#This Row],[Rubrique]], INDIRECT($O$3&amp;"!A:A") &amp; INDIRECT($O$3&amp;"!B:B"), INDIRECT($O$3&amp;"!J:J"), "Non trouvé")</f>
        <v>0</v>
      </c>
    </row>
    <row r="33" spans="1:4" ht="22.8" x14ac:dyDescent="0.3">
      <c r="A33" s="115" t="s">
        <v>704</v>
      </c>
      <c r="B33" s="115" t="s">
        <v>715</v>
      </c>
      <c r="C33" s="117" t="str" cm="1">
        <f t="array" aca="1" ref="C33" ca="1">_xlfn.XLOOKUP(Tableau1689[[#This Row],[Bloc de critères]] &amp; Tableau1689[[#This Row],[Rubrique]], INDIRECT($O$3&amp;"!A:A") &amp; INDIRECT($O$3&amp;"!B:B"), INDIRECT($O$3&amp;"!F:F"), "Non trouvé")</f>
        <v>Non appliqué</v>
      </c>
      <c r="D33" s="116" cm="1">
        <f t="array" aca="1" ref="D33" ca="1">_xlfn.XLOOKUP(Tableau1689[[#This Row],[Bloc de critères]] &amp; Tableau1689[[#This Row],[Rubrique]], INDIRECT($O$3&amp;"!A:A") &amp; INDIRECT($O$3&amp;"!B:B"), INDIRECT($O$3&amp;"!J:J"), "Non trouvé")</f>
        <v>0</v>
      </c>
    </row>
    <row r="34" spans="1:4" x14ac:dyDescent="0.3">
      <c r="A34" s="115" t="s">
        <v>704</v>
      </c>
      <c r="B34" s="115" t="s">
        <v>717</v>
      </c>
      <c r="C34" s="117" cm="1">
        <f t="array" aca="1" ref="C34" ca="1">_xlfn.XLOOKUP(Tableau1689[[#This Row],[Bloc de critères]] &amp; Tableau1689[[#This Row],[Rubrique]], INDIRECT($O$3&amp;"!A:A") &amp; INDIRECT($O$3&amp;"!B:B"), INDIRECT($O$3&amp;"!F:F"), "Non trouvé")</f>
        <v>0</v>
      </c>
      <c r="D34" s="116" t="str" cm="1">
        <f t="array" aca="1" ref="D34" ca="1">_xlfn.XLOOKUP(Tableau1689[[#This Row],[Bloc de critères]] &amp; Tableau1689[[#This Row],[Rubrique]], INDIRECT($O$3&amp;"!A:A") &amp; INDIRECT($O$3&amp;"!B:B"), INDIRECT($O$3&amp;"!J:J"), "Non trouvé")</f>
        <v>Non appliqué</v>
      </c>
    </row>
    <row r="35" spans="1:4" ht="22.8" x14ac:dyDescent="0.3">
      <c r="A35" s="115" t="s">
        <v>704</v>
      </c>
      <c r="B35" s="115" t="s">
        <v>718</v>
      </c>
      <c r="C35" s="117" cm="1">
        <f t="array" aca="1" ref="C35" ca="1">_xlfn.XLOOKUP(Tableau1689[[#This Row],[Bloc de critères]] &amp; Tableau1689[[#This Row],[Rubrique]], INDIRECT($O$3&amp;"!A:A") &amp; INDIRECT($O$3&amp;"!B:B"), INDIRECT($O$3&amp;"!F:F"), "Non trouvé")</f>
        <v>0</v>
      </c>
      <c r="D35" s="116" cm="1">
        <f t="array" aca="1" ref="D35" ca="1">_xlfn.XLOOKUP(Tableau1689[[#This Row],[Bloc de critères]] &amp; Tableau1689[[#This Row],[Rubrique]], INDIRECT($O$3&amp;"!A:A") &amp; INDIRECT($O$3&amp;"!B:B"), INDIRECT($O$3&amp;"!J:J"), "Non trouvé")</f>
        <v>0</v>
      </c>
    </row>
    <row r="36" spans="1:4" x14ac:dyDescent="0.3">
      <c r="A36" s="115" t="s">
        <v>21</v>
      </c>
      <c r="B36" s="115" t="s">
        <v>682</v>
      </c>
      <c r="C36" s="117" t="str" cm="1">
        <f t="array" aca="1" ref="C36" ca="1">_xlfn.XLOOKUP(Tableau1689[[#This Row],[Bloc de critères]] &amp; Tableau1689[[#This Row],[Rubrique]], INDIRECT($O$3&amp;"!A:A") &amp; INDIRECT($O$3&amp;"!B:B"), INDIRECT($O$3&amp;"!F:F"), "Non trouvé")</f>
        <v>Non appliqué</v>
      </c>
      <c r="D36" s="116" cm="1">
        <f t="array" aca="1" ref="D36" ca="1">_xlfn.XLOOKUP(Tableau1689[[#This Row],[Bloc de critères]] &amp; Tableau1689[[#This Row],[Rubrique]], INDIRECT($O$3&amp;"!A:A") &amp; INDIRECT($O$3&amp;"!B:B"), INDIRECT($O$3&amp;"!J:J"), "Non trouvé")</f>
        <v>0</v>
      </c>
    </row>
    <row r="37" spans="1:4" ht="22.8" x14ac:dyDescent="0.3">
      <c r="A37" s="115" t="s">
        <v>21</v>
      </c>
      <c r="B37" s="115" t="s">
        <v>720</v>
      </c>
      <c r="C37" s="117" t="str" cm="1">
        <f t="array" aca="1" ref="C37" ca="1">_xlfn.XLOOKUP(Tableau1689[[#This Row],[Bloc de critères]] &amp; Tableau1689[[#This Row],[Rubrique]], INDIRECT($O$3&amp;"!A:A") &amp; INDIRECT($O$3&amp;"!B:B"), INDIRECT($O$3&amp;"!F:F"), "Non trouvé")</f>
        <v>Non appliqué</v>
      </c>
      <c r="D37" s="116" cm="1">
        <f t="array" aca="1" ref="D37" ca="1">_xlfn.XLOOKUP(Tableau1689[[#This Row],[Bloc de critères]] &amp; Tableau1689[[#This Row],[Rubrique]], INDIRECT($O$3&amp;"!A:A") &amp; INDIRECT($O$3&amp;"!B:B"), INDIRECT($O$3&amp;"!J:J"), "Non trouvé")</f>
        <v>0</v>
      </c>
    </row>
    <row r="38" spans="1:4" ht="22.8" x14ac:dyDescent="0.3">
      <c r="A38" s="115" t="s">
        <v>21</v>
      </c>
      <c r="B38" s="115" t="s">
        <v>722</v>
      </c>
      <c r="C38" s="117" t="str" cm="1">
        <f t="array" aca="1" ref="C38" ca="1">_xlfn.XLOOKUP(Tableau1689[[#This Row],[Bloc de critères]] &amp; Tableau1689[[#This Row],[Rubrique]], INDIRECT($O$3&amp;"!A:A") &amp; INDIRECT($O$3&amp;"!B:B"), INDIRECT($O$3&amp;"!F:F"), "Non trouvé")</f>
        <v>Non appliqué</v>
      </c>
      <c r="D38" s="116" cm="1">
        <f t="array" aca="1" ref="D38" ca="1">_xlfn.XLOOKUP(Tableau1689[[#This Row],[Bloc de critères]] &amp; Tableau1689[[#This Row],[Rubrique]], INDIRECT($O$3&amp;"!A:A") &amp; INDIRECT($O$3&amp;"!B:B"), INDIRECT($O$3&amp;"!J:J"), "Non trouvé")</f>
        <v>0</v>
      </c>
    </row>
    <row r="39" spans="1:4" x14ac:dyDescent="0.3">
      <c r="A39" s="115" t="s">
        <v>21</v>
      </c>
      <c r="B39" s="115" t="s">
        <v>724</v>
      </c>
      <c r="C39" s="117" t="str" cm="1">
        <f t="array" aca="1" ref="C39" ca="1">_xlfn.XLOOKUP(Tableau1689[[#This Row],[Bloc de critères]] &amp; Tableau1689[[#This Row],[Rubrique]], INDIRECT($O$3&amp;"!A:A") &amp; INDIRECT($O$3&amp;"!B:B"), INDIRECT($O$3&amp;"!F:F"), "Non trouvé")</f>
        <v>Non appliqué</v>
      </c>
      <c r="D39" s="116" cm="1">
        <f t="array" aca="1" ref="D39" ca="1">_xlfn.XLOOKUP(Tableau1689[[#This Row],[Bloc de critères]] &amp; Tableau1689[[#This Row],[Rubrique]], INDIRECT($O$3&amp;"!A:A") &amp; INDIRECT($O$3&amp;"!B:B"), INDIRECT($O$3&amp;"!J:J"), "Non trouvé")</f>
        <v>0</v>
      </c>
    </row>
    <row r="40" spans="1:4" ht="22.8" x14ac:dyDescent="0.3">
      <c r="A40" s="115" t="s">
        <v>21</v>
      </c>
      <c r="B40" s="115" t="s">
        <v>725</v>
      </c>
      <c r="C40" s="117" t="str" cm="1">
        <f t="array" aca="1" ref="C40" ca="1">_xlfn.XLOOKUP(Tableau1689[[#This Row],[Bloc de critères]] &amp; Tableau1689[[#This Row],[Rubrique]], INDIRECT($O$3&amp;"!A:A") &amp; INDIRECT($O$3&amp;"!B:B"), INDIRECT($O$3&amp;"!F:F"), "Non trouvé")</f>
        <v>Non appliqué</v>
      </c>
      <c r="D40" s="116" cm="1">
        <f t="array" aca="1" ref="D40" ca="1">_xlfn.XLOOKUP(Tableau1689[[#This Row],[Bloc de critères]] &amp; Tableau1689[[#This Row],[Rubrique]], INDIRECT($O$3&amp;"!A:A") &amp; INDIRECT($O$3&amp;"!B:B"), INDIRECT($O$3&amp;"!J:J"), "Non trouvé")</f>
        <v>0</v>
      </c>
    </row>
    <row r="41" spans="1:4" ht="22.8" x14ac:dyDescent="0.3">
      <c r="A41" s="115" t="s">
        <v>729</v>
      </c>
      <c r="B41" s="115" t="s">
        <v>729</v>
      </c>
      <c r="C41" s="117" t="str" cm="1">
        <f t="array" aca="1" ref="C41" ca="1">_xlfn.XLOOKUP(Tableau1689[[#This Row],[Bloc de critères]] &amp; Tableau1689[[#This Row],[Rubrique]], INDIRECT($O$3&amp;"!A:A") &amp; INDIRECT($O$3&amp;"!B:B"), INDIRECT($O$3&amp;"!F:F"), "Non trouvé")</f>
        <v>Non appliqué</v>
      </c>
      <c r="D41" s="116" cm="1">
        <f t="array" aca="1" ref="D41" ca="1">_xlfn.XLOOKUP(Tableau1689[[#This Row],[Bloc de critères]] &amp; Tableau1689[[#This Row],[Rubrique]], INDIRECT($O$3&amp;"!A:A") &amp; INDIRECT($O$3&amp;"!B:B"), INDIRECT($O$3&amp;"!J:J"), "Non trouvé")</f>
        <v>0</v>
      </c>
    </row>
    <row r="42" spans="1:4" ht="22.8" x14ac:dyDescent="0.3">
      <c r="A42" s="115" t="s">
        <v>731</v>
      </c>
      <c r="B42" s="115" t="s">
        <v>733</v>
      </c>
      <c r="C42" s="117" t="str" cm="1">
        <f t="array" aca="1" ref="C42" ca="1">_xlfn.XLOOKUP(Tableau1689[[#This Row],[Bloc de critères]] &amp; Tableau1689[[#This Row],[Rubrique]], INDIRECT($O$3&amp;"!A:A") &amp; INDIRECT($O$3&amp;"!B:B"), INDIRECT($O$3&amp;"!F:F"), "Non trouvé")</f>
        <v>Non appliqué</v>
      </c>
      <c r="D42" s="116" cm="1">
        <f t="array" aca="1" ref="D42" ca="1">_xlfn.XLOOKUP(Tableau1689[[#This Row],[Bloc de critères]] &amp; Tableau1689[[#This Row],[Rubrique]], INDIRECT($O$3&amp;"!A:A") &amp; INDIRECT($O$3&amp;"!B:B"), INDIRECT($O$3&amp;"!J:J"), "Non trouvé")</f>
        <v>0</v>
      </c>
    </row>
    <row r="43" spans="1:4" ht="34.200000000000003" x14ac:dyDescent="0.3">
      <c r="A43" s="115" t="s">
        <v>731</v>
      </c>
      <c r="B43" s="115" t="s">
        <v>734</v>
      </c>
      <c r="C43" s="117" t="str" cm="1">
        <f t="array" aca="1" ref="C43" ca="1">_xlfn.XLOOKUP(Tableau1689[[#This Row],[Bloc de critères]] &amp; Tableau1689[[#This Row],[Rubrique]], INDIRECT($O$3&amp;"!A:A") &amp; INDIRECT($O$3&amp;"!B:B"), INDIRECT($O$3&amp;"!F:F"), "Non trouvé")</f>
        <v>Non appliqué</v>
      </c>
      <c r="D43" s="116" cm="1">
        <f t="array" aca="1" ref="D43" ca="1">_xlfn.XLOOKUP(Tableau1689[[#This Row],[Bloc de critères]] &amp; Tableau1689[[#This Row],[Rubrique]], INDIRECT($O$3&amp;"!A:A") &amp; INDIRECT($O$3&amp;"!B:B"), INDIRECT($O$3&amp;"!J:J"), "Non trouvé")</f>
        <v>0</v>
      </c>
    </row>
    <row r="44" spans="1:4" ht="34.200000000000003" x14ac:dyDescent="0.3">
      <c r="A44" s="115" t="s">
        <v>731</v>
      </c>
      <c r="B44" s="115" t="s">
        <v>735</v>
      </c>
      <c r="C44" s="117" t="str" cm="1">
        <f t="array" aca="1" ref="C44" ca="1">_xlfn.XLOOKUP(Tableau1689[[#This Row],[Bloc de critères]] &amp; Tableau1689[[#This Row],[Rubrique]], INDIRECT($O$3&amp;"!A:A") &amp; INDIRECT($O$3&amp;"!B:B"), INDIRECT($O$3&amp;"!F:F"), "Non trouvé")</f>
        <v>Non appliqué</v>
      </c>
      <c r="D44" s="116" cm="1">
        <f t="array" aca="1" ref="D44" ca="1">_xlfn.XLOOKUP(Tableau1689[[#This Row],[Bloc de critères]] &amp; Tableau1689[[#This Row],[Rubrique]], INDIRECT($O$3&amp;"!A:A") &amp; INDIRECT($O$3&amp;"!B:B"), INDIRECT($O$3&amp;"!J:J"), "Non trouvé")</f>
        <v>0</v>
      </c>
    </row>
    <row r="45" spans="1:4" ht="34.200000000000003" x14ac:dyDescent="0.3">
      <c r="A45" s="115" t="s">
        <v>731</v>
      </c>
      <c r="B45" s="115" t="s">
        <v>736</v>
      </c>
      <c r="C45" s="117" t="str" cm="1">
        <f t="array" aca="1" ref="C45" ca="1">_xlfn.XLOOKUP(Tableau1689[[#This Row],[Bloc de critères]] &amp; Tableau1689[[#This Row],[Rubrique]], INDIRECT($O$3&amp;"!A:A") &amp; INDIRECT($O$3&amp;"!B:B"), INDIRECT($O$3&amp;"!F:F"), "Non trouvé")</f>
        <v>Non appliqué</v>
      </c>
      <c r="D45" s="116" cm="1">
        <f t="array" aca="1" ref="D45" ca="1">_xlfn.XLOOKUP(Tableau1689[[#This Row],[Bloc de critères]] &amp; Tableau1689[[#This Row],[Rubrique]], INDIRECT($O$3&amp;"!A:A") &amp; INDIRECT($O$3&amp;"!B:B"), INDIRECT($O$3&amp;"!J:J"), "Non trouvé")</f>
        <v>0</v>
      </c>
    </row>
    <row r="46" spans="1:4" ht="45.6" x14ac:dyDescent="0.3">
      <c r="A46" s="115" t="s">
        <v>731</v>
      </c>
      <c r="B46" s="115" t="s">
        <v>737</v>
      </c>
      <c r="C46" s="117" t="str" cm="1">
        <f t="array" aca="1" ref="C46" ca="1">_xlfn.XLOOKUP(Tableau1689[[#This Row],[Bloc de critères]] &amp; Tableau1689[[#This Row],[Rubrique]], INDIRECT($O$3&amp;"!A:A") &amp; INDIRECT($O$3&amp;"!B:B"), INDIRECT($O$3&amp;"!F:F"), "Non trouvé")</f>
        <v>Non appliqué</v>
      </c>
      <c r="D46" s="116" cm="1">
        <f t="array" aca="1" ref="D46" ca="1">_xlfn.XLOOKUP(Tableau1689[[#This Row],[Bloc de critères]] &amp; Tableau1689[[#This Row],[Rubrique]], INDIRECT($O$3&amp;"!A:A") &amp; INDIRECT($O$3&amp;"!B:B"), INDIRECT($O$3&amp;"!J:J"), "Non trouvé")</f>
        <v>0</v>
      </c>
    </row>
    <row r="47" spans="1:4" x14ac:dyDescent="0.3">
      <c r="A47" s="115" t="s">
        <v>738</v>
      </c>
      <c r="B47" s="115" t="s">
        <v>738</v>
      </c>
      <c r="C47" s="117" t="str" cm="1">
        <f t="array" aca="1" ref="C47" ca="1">_xlfn.XLOOKUP(Tableau1689[[#This Row],[Bloc de critères]] &amp; Tableau1689[[#This Row],[Rubrique]], INDIRECT($O$3&amp;"!A:A") &amp; INDIRECT($O$3&amp;"!B:B"), INDIRECT($O$3&amp;"!F:F"), "Non trouvé")</f>
        <v>Non appliqué</v>
      </c>
      <c r="D47" s="116" cm="1">
        <f t="array" aca="1" ref="D47" ca="1">_xlfn.XLOOKUP(Tableau1689[[#This Row],[Bloc de critères]] &amp; Tableau1689[[#This Row],[Rubrique]], INDIRECT($O$3&amp;"!A:A") &amp; INDIRECT($O$3&amp;"!B:B"), INDIRECT($O$3&amp;"!J:J"), "Non trouvé")</f>
        <v>0</v>
      </c>
    </row>
    <row r="48" spans="1:4" x14ac:dyDescent="0.3">
      <c r="A48" s="115" t="s">
        <v>739</v>
      </c>
      <c r="B48" s="115" t="s">
        <v>682</v>
      </c>
      <c r="C48" s="117" cm="1">
        <f t="array" aca="1" ref="C48" ca="1">_xlfn.XLOOKUP(Tableau1689[[#This Row],[Bloc de critères]] &amp; Tableau1689[[#This Row],[Rubrique]], INDIRECT($O$3&amp;"!A:A") &amp; INDIRECT($O$3&amp;"!B:B"), INDIRECT($O$3&amp;"!F:F"), "Non trouvé")</f>
        <v>0</v>
      </c>
      <c r="D48" s="116" cm="1">
        <f t="array" aca="1" ref="D48" ca="1">_xlfn.XLOOKUP(Tableau1689[[#This Row],[Bloc de critères]] &amp; Tableau1689[[#This Row],[Rubrique]], INDIRECT($O$3&amp;"!A:A") &amp; INDIRECT($O$3&amp;"!B:B"), INDIRECT($O$3&amp;"!J:J"), "Non trouvé")</f>
        <v>0</v>
      </c>
    </row>
    <row r="49" spans="1:4" x14ac:dyDescent="0.3">
      <c r="A49" s="115" t="s">
        <v>739</v>
      </c>
      <c r="B49" s="115" t="s">
        <v>742</v>
      </c>
      <c r="C49" s="117" cm="1">
        <f t="array" aca="1" ref="C49" ca="1">_xlfn.XLOOKUP(Tableau1689[[#This Row],[Bloc de critères]] &amp; Tableau1689[[#This Row],[Rubrique]], INDIRECT($O$3&amp;"!A:A") &amp; INDIRECT($O$3&amp;"!B:B"), INDIRECT($O$3&amp;"!F:F"), "Non trouvé")</f>
        <v>0</v>
      </c>
      <c r="D49" s="116" t="str" cm="1">
        <f t="array" aca="1" ref="D49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0" spans="1:4" ht="22.8" x14ac:dyDescent="0.3">
      <c r="A50" s="115" t="s">
        <v>739</v>
      </c>
      <c r="B50" s="115" t="s">
        <v>743</v>
      </c>
      <c r="C50" s="117" cm="1">
        <f t="array" aca="1" ref="C50" ca="1">_xlfn.XLOOKUP(Tableau1689[[#This Row],[Bloc de critères]] &amp; Tableau1689[[#This Row],[Rubrique]], INDIRECT($O$3&amp;"!A:A") &amp; INDIRECT($O$3&amp;"!B:B"), INDIRECT($O$3&amp;"!F:F"), "Non trouvé")</f>
        <v>0</v>
      </c>
      <c r="D50" s="116" t="str" cm="1">
        <f t="array" aca="1" ref="D50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1" spans="1:4" x14ac:dyDescent="0.3">
      <c r="A51" s="115" t="s">
        <v>739</v>
      </c>
      <c r="B51" s="115" t="s">
        <v>746</v>
      </c>
      <c r="C51" s="117" cm="1">
        <f t="array" aca="1" ref="C51" ca="1">_xlfn.XLOOKUP(Tableau1689[[#This Row],[Bloc de critères]] &amp; Tableau1689[[#This Row],[Rubrique]], INDIRECT($O$3&amp;"!A:A") &amp; INDIRECT($O$3&amp;"!B:B"), INDIRECT($O$3&amp;"!F:F"), "Non trouvé")</f>
        <v>0</v>
      </c>
      <c r="D51" s="116" t="str" cm="1">
        <f t="array" aca="1" ref="D51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2" spans="1:4" x14ac:dyDescent="0.3">
      <c r="A52" s="115" t="s">
        <v>739</v>
      </c>
      <c r="B52" s="115" t="s">
        <v>747</v>
      </c>
      <c r="C52" s="117" cm="1">
        <f t="array" aca="1" ref="C52" ca="1">_xlfn.XLOOKUP(Tableau1689[[#This Row],[Bloc de critères]] &amp; Tableau1689[[#This Row],[Rubrique]], INDIRECT($O$3&amp;"!A:A") &amp; INDIRECT($O$3&amp;"!B:B"), INDIRECT($O$3&amp;"!F:F"), "Non trouvé")</f>
        <v>0</v>
      </c>
      <c r="D52" s="116" t="str" cm="1">
        <f t="array" aca="1" ref="D52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3" spans="1:4" x14ac:dyDescent="0.3">
      <c r="A53" s="115" t="s">
        <v>739</v>
      </c>
      <c r="B53" s="115" t="s">
        <v>748</v>
      </c>
      <c r="C53" s="117" cm="1">
        <f t="array" aca="1" ref="C53" ca="1">_xlfn.XLOOKUP(Tableau1689[[#This Row],[Bloc de critères]] &amp; Tableau1689[[#This Row],[Rubrique]], INDIRECT($O$3&amp;"!A:A") &amp; INDIRECT($O$3&amp;"!B:B"), INDIRECT($O$3&amp;"!F:F"), "Non trouvé")</f>
        <v>0</v>
      </c>
      <c r="D53" s="116" t="str" cm="1">
        <f t="array" aca="1" ref="D53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4" spans="1:4" x14ac:dyDescent="0.3">
      <c r="A54" s="115" t="s">
        <v>739</v>
      </c>
      <c r="B54" s="115" t="s">
        <v>751</v>
      </c>
      <c r="C54" s="117" cm="1">
        <f t="array" aca="1" ref="C54" ca="1">_xlfn.XLOOKUP(Tableau1689[[#This Row],[Bloc de critères]] &amp; Tableau1689[[#This Row],[Rubrique]], INDIRECT($O$3&amp;"!A:A") &amp; INDIRECT($O$3&amp;"!B:B"), INDIRECT($O$3&amp;"!F:F"), "Non trouvé")</f>
        <v>0</v>
      </c>
      <c r="D54" s="116" t="str" cm="1">
        <f t="array" aca="1" ref="D54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5" spans="1:4" ht="22.8" x14ac:dyDescent="0.3">
      <c r="A55" s="115" t="s">
        <v>739</v>
      </c>
      <c r="B55" s="115" t="s">
        <v>752</v>
      </c>
      <c r="C55" s="117" cm="1">
        <f t="array" aca="1" ref="C55" ca="1">_xlfn.XLOOKUP(Tableau1689[[#This Row],[Bloc de critères]] &amp; Tableau1689[[#This Row],[Rubrique]], INDIRECT($O$3&amp;"!A:A") &amp; INDIRECT($O$3&amp;"!B:B"), INDIRECT($O$3&amp;"!F:F"), "Non trouvé")</f>
        <v>0</v>
      </c>
      <c r="D55" s="116" t="str" cm="1">
        <f t="array" aca="1" ref="D55" ca="1">_xlfn.XLOOKUP(Tableau1689[[#This Row],[Bloc de critères]] &amp; Tableau1689[[#This Row],[Rubrique]], INDIRECT($O$3&amp;"!A:A") &amp; INDIRECT($O$3&amp;"!B:B"), INDIRECT($O$3&amp;"!J:J"), "Non trouvé")</f>
        <v>Non appliqué</v>
      </c>
    </row>
    <row r="56" spans="1:4" ht="34.200000000000003" x14ac:dyDescent="0.3">
      <c r="A56" s="115" t="s">
        <v>739</v>
      </c>
      <c r="B56" s="115" t="s">
        <v>753</v>
      </c>
      <c r="C56" s="117" cm="1">
        <f t="array" aca="1" ref="C56" ca="1">_xlfn.XLOOKUP(Tableau1689[[#This Row],[Bloc de critères]] &amp; Tableau1689[[#This Row],[Rubrique]], INDIRECT($O$3&amp;"!A:A") &amp; INDIRECT($O$3&amp;"!B:B"), INDIRECT($O$3&amp;"!F:F"), "Non trouvé")</f>
        <v>0</v>
      </c>
      <c r="D56" s="116" cm="1">
        <f t="array" aca="1" ref="D56" ca="1">_xlfn.XLOOKUP(Tableau1689[[#This Row],[Bloc de critères]] &amp; Tableau1689[[#This Row],[Rubrique]], INDIRECT($O$3&amp;"!A:A") &amp; INDIRECT($O$3&amp;"!B:B"), INDIRECT($O$3&amp;"!J:J"), "Non trouvé")</f>
        <v>0</v>
      </c>
    </row>
    <row r="57" spans="1:4" ht="22.8" x14ac:dyDescent="0.3">
      <c r="A57" s="115" t="s">
        <v>739</v>
      </c>
      <c r="B57" s="115" t="s">
        <v>755</v>
      </c>
      <c r="C57" s="117" cm="1">
        <f t="array" aca="1" ref="C57" ca="1">_xlfn.XLOOKUP(Tableau1689[[#This Row],[Bloc de critères]] &amp; Tableau1689[[#This Row],[Rubrique]], INDIRECT($O$3&amp;"!A:A") &amp; INDIRECT($O$3&amp;"!B:B"), INDIRECT($O$3&amp;"!F:F"), "Non trouvé")</f>
        <v>0</v>
      </c>
      <c r="D57" s="116" cm="1">
        <f t="array" aca="1" ref="D57" ca="1">_xlfn.XLOOKUP(Tableau1689[[#This Row],[Bloc de critères]] &amp; Tableau1689[[#This Row],[Rubrique]], INDIRECT($O$3&amp;"!A:A") &amp; INDIRECT($O$3&amp;"!B:B"), INDIRECT($O$3&amp;"!J:J"), "Non trouvé")</f>
        <v>0</v>
      </c>
    </row>
    <row r="58" spans="1:4" x14ac:dyDescent="0.3">
      <c r="A58" s="115" t="s">
        <v>739</v>
      </c>
      <c r="B58" s="115" t="s">
        <v>756</v>
      </c>
      <c r="C58" s="117" cm="1">
        <f t="array" aca="1" ref="C58" ca="1">_xlfn.XLOOKUP(Tableau1689[[#This Row],[Bloc de critères]] &amp; Tableau1689[[#This Row],[Rubrique]], INDIRECT($O$3&amp;"!A:A") &amp; INDIRECT($O$3&amp;"!B:B"), INDIRECT($O$3&amp;"!F:F"), "Non trouvé")</f>
        <v>0</v>
      </c>
      <c r="D58" s="116" cm="1">
        <f t="array" aca="1" ref="D58" ca="1">_xlfn.XLOOKUP(Tableau1689[[#This Row],[Bloc de critères]] &amp; Tableau1689[[#This Row],[Rubrique]], INDIRECT($O$3&amp;"!A:A") &amp; INDIRECT($O$3&amp;"!B:B"), INDIRECT($O$3&amp;"!J:J"), "Non trouvé")</f>
        <v>0</v>
      </c>
    </row>
    <row r="59" spans="1:4" ht="22.8" x14ac:dyDescent="0.3">
      <c r="A59" s="115" t="s">
        <v>757</v>
      </c>
      <c r="B59" s="115" t="s">
        <v>682</v>
      </c>
      <c r="C59" s="117" cm="1">
        <f t="array" aca="1" ref="C59" ca="1">_xlfn.XLOOKUP(Tableau1689[[#This Row],[Bloc de critères]] &amp; Tableau1689[[#This Row],[Rubrique]], INDIRECT($O$3&amp;"!A:A") &amp; INDIRECT($O$3&amp;"!B:B"), INDIRECT($O$3&amp;"!F:F"), "Non trouvé")</f>
        <v>0</v>
      </c>
      <c r="D59" s="116" cm="1">
        <f t="array" aca="1" ref="D59" ca="1">_xlfn.XLOOKUP(Tableau1689[[#This Row],[Bloc de critères]] &amp; Tableau1689[[#This Row],[Rubrique]], INDIRECT($O$3&amp;"!A:A") &amp; INDIRECT($O$3&amp;"!B:B"), INDIRECT($O$3&amp;"!J:J"), "Non trouvé")</f>
        <v>0</v>
      </c>
    </row>
    <row r="60" spans="1:4" ht="22.8" x14ac:dyDescent="0.3">
      <c r="A60" s="115" t="s">
        <v>757</v>
      </c>
      <c r="B60" s="115" t="s">
        <v>675</v>
      </c>
      <c r="C60" s="117" cm="1">
        <f t="array" aca="1" ref="C60" ca="1">_xlfn.XLOOKUP(Tableau1689[[#This Row],[Bloc de critères]] &amp; Tableau1689[[#This Row],[Rubrique]], INDIRECT($O$3&amp;"!A:A") &amp; INDIRECT($O$3&amp;"!B:B"), INDIRECT($O$3&amp;"!F:F"), "Non trouvé")</f>
        <v>0</v>
      </c>
      <c r="D60" s="116" t="str" cm="1">
        <f t="array" aca="1" ref="D60" ca="1">_xlfn.XLOOKUP(Tableau1689[[#This Row],[Bloc de critères]] &amp; Tableau1689[[#This Row],[Rubrique]], INDIRECT($O$3&amp;"!A:A") &amp; INDIRECT($O$3&amp;"!B:B"), INDIRECT($O$3&amp;"!J:J"), "Non trouvé")</f>
        <v>Non appliqué</v>
      </c>
    </row>
    <row r="61" spans="1:4" ht="22.8" x14ac:dyDescent="0.3">
      <c r="A61" s="115" t="s">
        <v>757</v>
      </c>
      <c r="B61" s="115" t="s">
        <v>759</v>
      </c>
      <c r="C61" s="117" cm="1">
        <f t="array" aca="1" ref="C61" ca="1">_xlfn.XLOOKUP(Tableau1689[[#This Row],[Bloc de critères]] &amp; Tableau1689[[#This Row],[Rubrique]], INDIRECT($O$3&amp;"!A:A") &amp; INDIRECT($O$3&amp;"!B:B"), INDIRECT($O$3&amp;"!F:F"), "Non trouvé")</f>
        <v>0</v>
      </c>
      <c r="D61" s="116" cm="1">
        <f t="array" aca="1" ref="D61" ca="1">_xlfn.XLOOKUP(Tableau1689[[#This Row],[Bloc de critères]] &amp; Tableau1689[[#This Row],[Rubrique]], INDIRECT($O$3&amp;"!A:A") &amp; INDIRECT($O$3&amp;"!B:B"), INDIRECT($O$3&amp;"!J:J"), "Non trouvé")</f>
        <v>0</v>
      </c>
    </row>
    <row r="62" spans="1:4" ht="22.8" x14ac:dyDescent="0.3">
      <c r="A62" s="115" t="s">
        <v>757</v>
      </c>
      <c r="B62" s="115" t="s">
        <v>761</v>
      </c>
      <c r="C62" s="117" t="str" cm="1">
        <f t="array" aca="1" ref="C62" ca="1">_xlfn.XLOOKUP(Tableau1689[[#This Row],[Bloc de critères]] &amp; Tableau1689[[#This Row],[Rubrique]], INDIRECT($O$3&amp;"!A:A") &amp; INDIRECT($O$3&amp;"!B:B"), INDIRECT($O$3&amp;"!F:F"), "Non trouvé")</f>
        <v>Non appliqué</v>
      </c>
      <c r="D62" s="116" cm="1">
        <f t="array" aca="1" ref="D62" ca="1">_xlfn.XLOOKUP(Tableau1689[[#This Row],[Bloc de critères]] &amp; Tableau1689[[#This Row],[Rubrique]], INDIRECT($O$3&amp;"!A:A") &amp; INDIRECT($O$3&amp;"!B:B"), INDIRECT($O$3&amp;"!J:J"), "Non trouvé")</f>
        <v>0</v>
      </c>
    </row>
    <row r="63" spans="1:4" ht="22.8" x14ac:dyDescent="0.3">
      <c r="A63" s="115" t="s">
        <v>757</v>
      </c>
      <c r="B63" s="115" t="s">
        <v>762</v>
      </c>
      <c r="C63" s="117" cm="1">
        <f t="array" aca="1" ref="C63" ca="1">_xlfn.XLOOKUP(Tableau1689[[#This Row],[Bloc de critères]] &amp; Tableau1689[[#This Row],[Rubrique]], INDIRECT($O$3&amp;"!A:A") &amp; INDIRECT($O$3&amp;"!B:B"), INDIRECT($O$3&amp;"!F:F"), "Non trouvé")</f>
        <v>0</v>
      </c>
      <c r="D63" s="116" cm="1">
        <f t="array" aca="1" ref="D63" ca="1">_xlfn.XLOOKUP(Tableau1689[[#This Row],[Bloc de critères]] &amp; Tableau1689[[#This Row],[Rubrique]], INDIRECT($O$3&amp;"!A:A") &amp; INDIRECT($O$3&amp;"!B:B"), INDIRECT($O$3&amp;"!J:J"), "Non trouvé")</f>
        <v>0</v>
      </c>
    </row>
    <row r="64" spans="1:4" ht="22.8" x14ac:dyDescent="0.3">
      <c r="A64" s="115" t="s">
        <v>757</v>
      </c>
      <c r="B64" s="115" t="s">
        <v>763</v>
      </c>
      <c r="C64" s="117" cm="1">
        <f t="array" aca="1" ref="C64" ca="1">_xlfn.XLOOKUP(Tableau1689[[#This Row],[Bloc de critères]] &amp; Tableau1689[[#This Row],[Rubrique]], INDIRECT($O$3&amp;"!A:A") &amp; INDIRECT($O$3&amp;"!B:B"), INDIRECT($O$3&amp;"!F:F"), "Non trouvé")</f>
        <v>0</v>
      </c>
      <c r="D64" s="116" t="str" cm="1">
        <f t="array" aca="1" ref="D64" ca="1">_xlfn.XLOOKUP(Tableau1689[[#This Row],[Bloc de critères]] &amp; Tableau1689[[#This Row],[Rubrique]], INDIRECT($O$3&amp;"!A:A") &amp; INDIRECT($O$3&amp;"!B:B"), INDIRECT($O$3&amp;"!J:J"), "Non trouvé")</f>
        <v>Non appliqué</v>
      </c>
    </row>
    <row r="65" spans="1:4" ht="22.8" x14ac:dyDescent="0.3">
      <c r="A65" s="115" t="s">
        <v>757</v>
      </c>
      <c r="B65" s="115" t="s">
        <v>765</v>
      </c>
      <c r="C65" s="117" cm="1">
        <f t="array" aca="1" ref="C65" ca="1">_xlfn.XLOOKUP(Tableau1689[[#This Row],[Bloc de critères]] &amp; Tableau1689[[#This Row],[Rubrique]], INDIRECT($O$3&amp;"!A:A") &amp; INDIRECT($O$3&amp;"!B:B"), INDIRECT($O$3&amp;"!F:F"), "Non trouvé")</f>
        <v>0</v>
      </c>
      <c r="D65" s="116" cm="1">
        <f t="array" aca="1" ref="D65" ca="1">_xlfn.XLOOKUP(Tableau1689[[#This Row],[Bloc de critères]] &amp; Tableau1689[[#This Row],[Rubrique]], INDIRECT($O$3&amp;"!A:A") &amp; INDIRECT($O$3&amp;"!B:B"), INDIRECT($O$3&amp;"!J:J"), "Non trouvé")</f>
        <v>0</v>
      </c>
    </row>
    <row r="66" spans="1:4" ht="22.8" x14ac:dyDescent="0.3">
      <c r="A66" s="115" t="s">
        <v>757</v>
      </c>
      <c r="B66" s="115" t="s">
        <v>766</v>
      </c>
      <c r="C66" s="117" cm="1">
        <f t="array" aca="1" ref="C66" ca="1">_xlfn.XLOOKUP(Tableau1689[[#This Row],[Bloc de critères]] &amp; Tableau1689[[#This Row],[Rubrique]], INDIRECT($O$3&amp;"!A:A") &amp; INDIRECT($O$3&amp;"!B:B"), INDIRECT($O$3&amp;"!F:F"), "Non trouvé")</f>
        <v>0</v>
      </c>
      <c r="D66" s="116" cm="1">
        <f t="array" aca="1" ref="D66" ca="1">_xlfn.XLOOKUP(Tableau1689[[#This Row],[Bloc de critères]] &amp; Tableau1689[[#This Row],[Rubrique]], INDIRECT($O$3&amp;"!A:A") &amp; INDIRECT($O$3&amp;"!B:B"), INDIRECT($O$3&amp;"!J:J"), "Non trouvé")</f>
        <v>0</v>
      </c>
    </row>
    <row r="67" spans="1:4" ht="22.8" x14ac:dyDescent="0.3">
      <c r="A67" s="115" t="s">
        <v>767</v>
      </c>
      <c r="B67" s="115" t="s">
        <v>768</v>
      </c>
      <c r="C67" s="117" cm="1">
        <f t="array" aca="1" ref="C67" ca="1">_xlfn.XLOOKUP(Tableau1689[[#This Row],[Bloc de critères]] &amp; Tableau1689[[#This Row],[Rubrique]], INDIRECT($O$3&amp;"!A:A") &amp; INDIRECT($O$3&amp;"!B:B"), INDIRECT($O$3&amp;"!F:F"), "Non trouvé")</f>
        <v>0</v>
      </c>
      <c r="D67" s="116" cm="1">
        <f t="array" aca="1" ref="D67" ca="1">_xlfn.XLOOKUP(Tableau1689[[#This Row],[Bloc de critères]] &amp; Tableau1689[[#This Row],[Rubrique]], INDIRECT($O$3&amp;"!A:A") &amp; INDIRECT($O$3&amp;"!B:B"), INDIRECT($O$3&amp;"!J:J"), "Non trouvé")</f>
        <v>0</v>
      </c>
    </row>
    <row r="68" spans="1:4" ht="22.8" x14ac:dyDescent="0.3">
      <c r="A68" s="115" t="s">
        <v>767</v>
      </c>
      <c r="B68" s="115" t="s">
        <v>770</v>
      </c>
      <c r="C68" s="117" cm="1">
        <f t="array" aca="1" ref="C68" ca="1">_xlfn.XLOOKUP(Tableau1689[[#This Row],[Bloc de critères]] &amp; Tableau1689[[#This Row],[Rubrique]], INDIRECT($O$3&amp;"!A:A") &amp; INDIRECT($O$3&amp;"!B:B"), INDIRECT($O$3&amp;"!F:F"), "Non trouvé")</f>
        <v>0</v>
      </c>
      <c r="D68" s="116" t="str" cm="1">
        <f t="array" aca="1" ref="D68" ca="1">_xlfn.XLOOKUP(Tableau1689[[#This Row],[Bloc de critères]] &amp; Tableau1689[[#This Row],[Rubrique]], INDIRECT($O$3&amp;"!A:A") &amp; INDIRECT($O$3&amp;"!B:B"), INDIRECT($O$3&amp;"!J:J"), "Non trouvé")</f>
        <v>Non appliqué</v>
      </c>
    </row>
    <row r="69" spans="1:4" ht="22.8" x14ac:dyDescent="0.3">
      <c r="A69" s="115" t="s">
        <v>767</v>
      </c>
      <c r="B69" s="115" t="s">
        <v>772</v>
      </c>
      <c r="C69" s="117" t="str" cm="1">
        <f t="array" aca="1" ref="C69" ca="1">_xlfn.XLOOKUP(Tableau1689[[#This Row],[Bloc de critères]] &amp; Tableau1689[[#This Row],[Rubrique]], INDIRECT($O$3&amp;"!A:A") &amp; INDIRECT($O$3&amp;"!B:B"), INDIRECT($O$3&amp;"!F:F"), "Non trouvé")</f>
        <v>Non appliqué</v>
      </c>
      <c r="D69" s="116" cm="1">
        <f t="array" aca="1" ref="D69" ca="1">_xlfn.XLOOKUP(Tableau1689[[#This Row],[Bloc de critères]] &amp; Tableau1689[[#This Row],[Rubrique]], INDIRECT($O$3&amp;"!A:A") &amp; INDIRECT($O$3&amp;"!B:B"), INDIRECT($O$3&amp;"!J:J"), "Non trouvé")</f>
        <v>0</v>
      </c>
    </row>
    <row r="70" spans="1:4" ht="22.8" x14ac:dyDescent="0.3">
      <c r="A70" s="115" t="s">
        <v>773</v>
      </c>
      <c r="B70" s="115" t="s">
        <v>775</v>
      </c>
      <c r="C70" s="117" cm="1">
        <f t="array" aca="1" ref="C70" ca="1">_xlfn.XLOOKUP(Tableau1689[[#This Row],[Bloc de critères]] &amp; Tableau1689[[#This Row],[Rubrique]], INDIRECT($O$3&amp;"!A:A") &amp; INDIRECT($O$3&amp;"!B:B"), INDIRECT($O$3&amp;"!F:F"), "Non trouvé")</f>
        <v>0</v>
      </c>
      <c r="D70" s="116" cm="1">
        <f t="array" aca="1" ref="D70" ca="1">_xlfn.XLOOKUP(Tableau1689[[#This Row],[Bloc de critères]] &amp; Tableau1689[[#This Row],[Rubrique]], INDIRECT($O$3&amp;"!A:A") &amp; INDIRECT($O$3&amp;"!B:B"), INDIRECT($O$3&amp;"!J:J"), "Non trouvé")</f>
        <v>0</v>
      </c>
    </row>
    <row r="71" spans="1:4" ht="22.8" x14ac:dyDescent="0.3">
      <c r="A71" s="115" t="s">
        <v>773</v>
      </c>
      <c r="B71" s="115" t="s">
        <v>776</v>
      </c>
      <c r="C71" s="117" cm="1">
        <f t="array" aca="1" ref="C71" ca="1">_xlfn.XLOOKUP(Tableau1689[[#This Row],[Bloc de critères]] &amp; Tableau1689[[#This Row],[Rubrique]], INDIRECT($O$3&amp;"!A:A") &amp; INDIRECT($O$3&amp;"!B:B"), INDIRECT($O$3&amp;"!F:F"), "Non trouvé")</f>
        <v>0</v>
      </c>
      <c r="D71" s="116" cm="1">
        <f t="array" aca="1" ref="D71" ca="1">_xlfn.XLOOKUP(Tableau1689[[#This Row],[Bloc de critères]] &amp; Tableau1689[[#This Row],[Rubrique]], INDIRECT($O$3&amp;"!A:A") &amp; INDIRECT($O$3&amp;"!B:B"), INDIRECT($O$3&amp;"!J:J"), "Non trouvé")</f>
        <v>0</v>
      </c>
    </row>
    <row r="72" spans="1:4" ht="22.8" x14ac:dyDescent="0.3">
      <c r="A72" s="115" t="s">
        <v>773</v>
      </c>
      <c r="B72" s="115" t="s">
        <v>777</v>
      </c>
      <c r="C72" s="117" cm="1">
        <f t="array" aca="1" ref="C72" ca="1">_xlfn.XLOOKUP(Tableau1689[[#This Row],[Bloc de critères]] &amp; Tableau1689[[#This Row],[Rubrique]], INDIRECT($O$3&amp;"!A:A") &amp; INDIRECT($O$3&amp;"!B:B"), INDIRECT($O$3&amp;"!F:F"), "Non trouvé")</f>
        <v>0</v>
      </c>
      <c r="D72" s="116" cm="1">
        <f t="array" aca="1" ref="D72" ca="1">_xlfn.XLOOKUP(Tableau1689[[#This Row],[Bloc de critères]] &amp; Tableau1689[[#This Row],[Rubrique]], INDIRECT($O$3&amp;"!A:A") &amp; INDIRECT($O$3&amp;"!B:B"), INDIRECT($O$3&amp;"!J:J"), "Non trouvé")</f>
        <v>0</v>
      </c>
    </row>
    <row r="73" spans="1:4" x14ac:dyDescent="0.3">
      <c r="A73" s="111"/>
      <c r="B73" s="111"/>
      <c r="C73" s="110"/>
      <c r="D73" s="109"/>
    </row>
    <row r="74" spans="1:4" x14ac:dyDescent="0.3">
      <c r="A74" s="112"/>
      <c r="B74" s="112"/>
      <c r="C74" s="110"/>
      <c r="D74" s="109"/>
    </row>
    <row r="75" spans="1:4" x14ac:dyDescent="0.3">
      <c r="A75" s="112"/>
      <c r="B75" s="112"/>
      <c r="C75" s="110"/>
      <c r="D75" s="109"/>
    </row>
    <row r="76" spans="1:4" x14ac:dyDescent="0.3">
      <c r="A76" s="112"/>
      <c r="B76" s="112"/>
      <c r="C76" s="110"/>
      <c r="D76" s="109"/>
    </row>
    <row r="77" spans="1:4" x14ac:dyDescent="0.3">
      <c r="A77" s="112"/>
      <c r="B77" s="112"/>
      <c r="C77" s="110"/>
      <c r="D77" s="109"/>
    </row>
    <row r="78" spans="1:4" x14ac:dyDescent="0.3">
      <c r="A78" s="112"/>
      <c r="B78" s="112"/>
      <c r="C78" s="110"/>
      <c r="D78" s="109"/>
    </row>
    <row r="79" spans="1:4" x14ac:dyDescent="0.3">
      <c r="A79" s="112"/>
      <c r="B79" s="112"/>
      <c r="C79" s="110"/>
      <c r="D79" s="109"/>
    </row>
    <row r="80" spans="1:4" x14ac:dyDescent="0.3">
      <c r="A80" s="112"/>
      <c r="B80" s="112"/>
      <c r="C80" s="110"/>
      <c r="D80" s="109"/>
    </row>
    <row r="81" spans="1:4" x14ac:dyDescent="0.3">
      <c r="A81" s="112"/>
      <c r="B81" s="112"/>
      <c r="C81" s="110"/>
      <c r="D81" s="109"/>
    </row>
    <row r="82" spans="1:4" x14ac:dyDescent="0.3">
      <c r="A82" s="112"/>
      <c r="B82" s="112"/>
      <c r="C82" s="110"/>
      <c r="D82" s="109"/>
    </row>
    <row r="83" spans="1:4" x14ac:dyDescent="0.3">
      <c r="A83" s="112"/>
      <c r="B83" s="112"/>
      <c r="C83" s="110"/>
      <c r="D83" s="109"/>
    </row>
    <row r="84" spans="1:4" x14ac:dyDescent="0.3">
      <c r="A84" s="112"/>
      <c r="B84" s="112"/>
      <c r="C84" s="110"/>
      <c r="D84" s="109"/>
    </row>
    <row r="85" spans="1:4" x14ac:dyDescent="0.3">
      <c r="A85" s="112"/>
      <c r="B85" s="112"/>
      <c r="C85" s="110"/>
      <c r="D85" s="109"/>
    </row>
    <row r="86" spans="1:4" x14ac:dyDescent="0.3">
      <c r="A86" s="112"/>
      <c r="B86" s="112"/>
      <c r="C86" s="110"/>
      <c r="D86" s="109"/>
    </row>
    <row r="87" spans="1:4" x14ac:dyDescent="0.3">
      <c r="A87" s="112"/>
      <c r="B87" s="112"/>
      <c r="C87" s="110"/>
      <c r="D87" s="109"/>
    </row>
    <row r="88" spans="1:4" x14ac:dyDescent="0.3">
      <c r="A88" s="112"/>
      <c r="B88" s="112"/>
      <c r="C88" s="110"/>
      <c r="D88" s="109"/>
    </row>
    <row r="89" spans="1:4" x14ac:dyDescent="0.3">
      <c r="A89" s="112"/>
      <c r="B89" s="112"/>
      <c r="C89" s="110"/>
      <c r="D89" s="109"/>
    </row>
    <row r="90" spans="1:4" x14ac:dyDescent="0.3">
      <c r="A90" s="112"/>
      <c r="B90" s="112"/>
      <c r="C90" s="110"/>
      <c r="D90" s="109"/>
    </row>
    <row r="91" spans="1:4" x14ac:dyDescent="0.3">
      <c r="A91"/>
      <c r="B91"/>
      <c r="C91"/>
    </row>
    <row r="92" spans="1:4" x14ac:dyDescent="0.3">
      <c r="A92"/>
      <c r="B92"/>
      <c r="C92"/>
    </row>
    <row r="93" spans="1:4" x14ac:dyDescent="0.3">
      <c r="A93"/>
      <c r="B93"/>
      <c r="C93"/>
    </row>
    <row r="94" spans="1:4" x14ac:dyDescent="0.3">
      <c r="A94"/>
      <c r="B94"/>
      <c r="C94"/>
    </row>
    <row r="95" spans="1:4" x14ac:dyDescent="0.3">
      <c r="A95"/>
      <c r="B95"/>
      <c r="C95"/>
    </row>
    <row r="96" spans="1:4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C5AD-CEFF-43AA-B2A7-9718D48FB401}">
  <dimension ref="A1:P496"/>
  <sheetViews>
    <sheetView topLeftCell="B1" zoomScale="106" zoomScaleNormal="100" workbookViewId="0">
      <selection activeCell="I16" sqref="I16:J16"/>
    </sheetView>
  </sheetViews>
  <sheetFormatPr baseColWidth="10" defaultColWidth="11.33203125" defaultRowHeight="14.4" x14ac:dyDescent="0.3"/>
  <cols>
    <col min="1" max="1" width="22.109375" style="58" bestFit="1" customWidth="1"/>
    <col min="2" max="2" width="15.5546875" style="58" customWidth="1"/>
    <col min="3" max="3" width="23.77734375" style="108" customWidth="1"/>
    <col min="4" max="4" width="27.6640625" style="15" customWidth="1"/>
    <col min="6" max="6" width="18.109375" customWidth="1"/>
    <col min="7" max="11" width="10.109375" bestFit="1" customWidth="1"/>
    <col min="13" max="13" width="18.109375" customWidth="1"/>
    <col min="14" max="14" width="21.109375" bestFit="1" customWidth="1"/>
    <col min="15" max="16" width="46.109375" bestFit="1" customWidth="1"/>
    <col min="17" max="17" width="12.109375" bestFit="1" customWidth="1"/>
    <col min="18" max="18" width="18.77734375" bestFit="1" customWidth="1"/>
    <col min="19" max="19" width="25" bestFit="1" customWidth="1"/>
    <col min="20" max="20" width="18.109375" bestFit="1" customWidth="1"/>
  </cols>
  <sheetData>
    <row r="1" spans="1:16" s="107" customFormat="1" ht="25.8" thickBot="1" x14ac:dyDescent="0.35">
      <c r="A1" s="113" t="s">
        <v>616</v>
      </c>
      <c r="B1" s="113" t="s">
        <v>618</v>
      </c>
      <c r="C1" s="113" t="s">
        <v>803</v>
      </c>
      <c r="D1" s="113" t="s">
        <v>804</v>
      </c>
      <c r="P1" s="114"/>
    </row>
    <row r="2" spans="1:16" ht="25.8" thickBot="1" x14ac:dyDescent="0.35">
      <c r="A2" s="115" t="s">
        <v>646</v>
      </c>
      <c r="B2" s="115" t="s">
        <v>648</v>
      </c>
      <c r="C2" s="117" cm="1">
        <f t="array" aca="1" ref="C2" ca="1">_xlfn.XLOOKUP(Tableau168[[#This Row],[Bloc de critères]] &amp; Tableau168[[#This Row],[Rubrique]], INDIRECT($O$3&amp;"!A:A") &amp; INDIRECT($O$3&amp;"!B:B"), INDIRECT($O$3&amp;"!F:F"), "Non trouvé")</f>
        <v>0</v>
      </c>
      <c r="D2" s="116" cm="1">
        <f t="array" aca="1" ref="D2" ca="1">_xlfn.XLOOKUP(Tableau168[[#This Row],[Bloc de critères]] &amp; Tableau168[[#This Row],[Rubrique]], INDIRECT($O$3&amp;"!A:A") &amp; INDIRECT($O$3&amp;"!B:B"), INDIRECT($O$3&amp;"!J:J"), "Non trouvé")</f>
        <v>0</v>
      </c>
      <c r="G2" s="79" t="s">
        <v>805</v>
      </c>
      <c r="H2" s="79" t="s">
        <v>806</v>
      </c>
      <c r="I2" s="79" t="s">
        <v>807</v>
      </c>
      <c r="J2" s="79" t="s">
        <v>808</v>
      </c>
      <c r="K2" s="79" t="s">
        <v>809</v>
      </c>
      <c r="P2" s="15"/>
    </row>
    <row r="3" spans="1:16" ht="25.8" thickBot="1" x14ac:dyDescent="0.35">
      <c r="A3" s="115" t="s">
        <v>646</v>
      </c>
      <c r="B3" s="115" t="s">
        <v>652</v>
      </c>
      <c r="C3" s="117" cm="1">
        <f t="array" aca="1" ref="C3" ca="1">_xlfn.XLOOKUP(Tableau168[[#This Row],[Bloc de critères]] &amp; Tableau168[[#This Row],[Rubrique]], INDIRECT($O$3&amp;"!A:A") &amp; INDIRECT($O$3&amp;"!B:B"), INDIRECT($O$3&amp;"!F:F"), "Non trouvé")</f>
        <v>0</v>
      </c>
      <c r="D3" s="116" t="str" cm="1">
        <f t="array" aca="1" ref="D3" ca="1">_xlfn.XLOOKUP(Tableau168[[#This Row],[Bloc de critères]] &amp; Tableau168[[#This Row],[Rubrique]], INDIRECT($O$3&amp;"!A:A") &amp; INDIRECT($O$3&amp;"!B:B"), INDIRECT($O$3&amp;"!J:J"), "Non trouvé")</f>
        <v>Non appliqué</v>
      </c>
      <c r="G3" s="79" t="s">
        <v>37</v>
      </c>
      <c r="H3" s="79" t="s">
        <v>38</v>
      </c>
      <c r="I3" s="79" t="s">
        <v>39</v>
      </c>
      <c r="J3" s="79" t="s">
        <v>40</v>
      </c>
      <c r="K3" s="79" t="s">
        <v>41</v>
      </c>
      <c r="M3" s="79" t="s">
        <v>810</v>
      </c>
      <c r="N3" s="80" t="str">
        <f>H3</f>
        <v>Hôtel 4 étoiles</v>
      </c>
      <c r="O3" t="str">
        <f>INDEX(G2:K2,MATCH(N3,G3:K3,0))</f>
        <v>grille_ht4</v>
      </c>
      <c r="P3" s="15"/>
    </row>
    <row r="4" spans="1:16" ht="38.4" thickBot="1" x14ac:dyDescent="0.35">
      <c r="A4" s="115" t="s">
        <v>653</v>
      </c>
      <c r="B4" s="115" t="s">
        <v>654</v>
      </c>
      <c r="C4" s="117" cm="1">
        <f t="array" aca="1" ref="C4" ca="1">_xlfn.XLOOKUP(Tableau168[[#This Row],[Bloc de critères]] &amp; Tableau168[[#This Row],[Rubrique]], INDIRECT($O$3&amp;"!A:A") &amp; INDIRECT($O$3&amp;"!B:B"), INDIRECT($O$3&amp;"!F:F"), "Non trouvé")</f>
        <v>0</v>
      </c>
      <c r="D4" s="116" cm="1">
        <f t="array" aca="1" ref="D4" ca="1">_xlfn.XLOOKUP(Tableau168[[#This Row],[Bloc de critères]] &amp; Tableau168[[#This Row],[Rubrique]], INDIRECT($O$3&amp;"!A:A") &amp; INDIRECT($O$3&amp;"!B:B"), INDIRECT($O$3&amp;"!J:J"), "Non trouvé")</f>
        <v>0</v>
      </c>
      <c r="G4">
        <v>5</v>
      </c>
      <c r="H4">
        <v>4</v>
      </c>
      <c r="I4">
        <v>3</v>
      </c>
      <c r="J4">
        <v>2</v>
      </c>
      <c r="K4">
        <v>1</v>
      </c>
      <c r="M4" s="79" t="s">
        <v>811</v>
      </c>
      <c r="N4" s="80">
        <f ca="1">_xlfn.XLOOKUP(N3,G3:K3,G5:K5)</f>
        <v>0</v>
      </c>
      <c r="P4" s="15"/>
    </row>
    <row r="5" spans="1:16" ht="38.4" thickBot="1" x14ac:dyDescent="0.35">
      <c r="A5" s="115" t="s">
        <v>653</v>
      </c>
      <c r="B5" s="115" t="s">
        <v>657</v>
      </c>
      <c r="C5" s="117" t="str" cm="1">
        <f t="array" aca="1" ref="C5" ca="1">_xlfn.XLOOKUP(Tableau168[[#This Row],[Bloc de critères]] &amp; Tableau168[[#This Row],[Rubrique]], INDIRECT($O$3&amp;"!A:A") &amp; INDIRECT($O$3&amp;"!B:B"), INDIRECT($O$3&amp;"!F:F"), "Non trouvé")</f>
        <v>Non appliqué</v>
      </c>
      <c r="D5" s="116" cm="1">
        <f t="array" aca="1" ref="D5" ca="1">_xlfn.XLOOKUP(Tableau168[[#This Row],[Bloc de critères]] &amp; Tableau168[[#This Row],[Rubrique]], INDIRECT($O$3&amp;"!A:A") &amp; INDIRECT($O$3&amp;"!B:B"), INDIRECT($O$3&amp;"!J:J"), "Non trouvé")</f>
        <v>0</v>
      </c>
      <c r="F5" s="79" t="s">
        <v>812</v>
      </c>
      <c r="G5" s="81">
        <f ca="1">SUM(Grille_HT5!U2:U91)</f>
        <v>0</v>
      </c>
      <c r="H5" s="81">
        <f ca="1">SUM(Grille_HT4!U2:U91)</f>
        <v>0</v>
      </c>
      <c r="I5" s="81">
        <f ca="1">SUM(Grille_HT3!U2:U91)</f>
        <v>0</v>
      </c>
      <c r="J5" s="81">
        <f ca="1">SUM(Grille_HT2!U2:U91)</f>
        <v>0</v>
      </c>
      <c r="K5" s="81">
        <f ca="1">SUM(Grille_HT1!U2:U91)</f>
        <v>0</v>
      </c>
      <c r="M5" s="79" t="s">
        <v>813</v>
      </c>
      <c r="N5" s="80">
        <f ca="1">_xlfn.XLOOKUP(N3,G3:K3,G6:K6)</f>
        <v>0</v>
      </c>
    </row>
    <row r="6" spans="1:16" ht="38.4" thickBot="1" x14ac:dyDescent="0.35">
      <c r="A6" s="115" t="s">
        <v>653</v>
      </c>
      <c r="B6" s="115" t="s">
        <v>658</v>
      </c>
      <c r="C6" s="117" cm="1">
        <f t="array" aca="1" ref="C6" ca="1">_xlfn.XLOOKUP(Tableau168[[#This Row],[Bloc de critères]] &amp; Tableau168[[#This Row],[Rubrique]], INDIRECT($O$3&amp;"!A:A") &amp; INDIRECT($O$3&amp;"!B:B"), INDIRECT($O$3&amp;"!F:F"), "Non trouvé")</f>
        <v>0</v>
      </c>
      <c r="D6" s="116" t="str" cm="1">
        <f t="array" aca="1" ref="D6" ca="1">_xlfn.XLOOKUP(Tableau168[[#This Row],[Bloc de critères]] &amp; Tableau168[[#This Row],[Rubrique]], INDIRECT($O$3&amp;"!A:A") &amp; INDIRECT($O$3&amp;"!B:B"), INDIRECT($O$3&amp;"!J:J"), "Non trouvé")</f>
        <v>Non appliqué</v>
      </c>
      <c r="F6" s="79" t="s">
        <v>814</v>
      </c>
      <c r="G6" s="81">
        <f ca="1">SUM(Grille_HT5!X2:X91)</f>
        <v>0</v>
      </c>
      <c r="H6" s="81">
        <f ca="1">SUM(Grille_HT4!X2:X91)</f>
        <v>0</v>
      </c>
      <c r="I6" s="81">
        <f ca="1">SUM(Grille_HT3!X2:X91)</f>
        <v>0</v>
      </c>
      <c r="J6" s="81">
        <f ca="1">SUM(Grille_HT2!X2:X91)</f>
        <v>0</v>
      </c>
      <c r="K6" s="81">
        <f ca="1">SUM(Grille_HT1!X2:X91)</f>
        <v>0</v>
      </c>
      <c r="O6" s="15"/>
    </row>
    <row r="7" spans="1:16" ht="15" thickBot="1" x14ac:dyDescent="0.35">
      <c r="A7" s="115" t="s">
        <v>659</v>
      </c>
      <c r="B7" s="115" t="s">
        <v>661</v>
      </c>
      <c r="C7" s="117" cm="1">
        <f t="array" aca="1" ref="C7" ca="1">_xlfn.XLOOKUP(Tableau168[[#This Row],[Bloc de critères]] &amp; Tableau168[[#This Row],[Rubrique]], INDIRECT($O$3&amp;"!A:A") &amp; INDIRECT($O$3&amp;"!B:B"), INDIRECT($O$3&amp;"!F:F"), "Non trouvé")</f>
        <v>0</v>
      </c>
      <c r="D7" s="116" cm="1">
        <f t="array" aca="1" ref="D7" ca="1">_xlfn.XLOOKUP(Tableau168[[#This Row],[Bloc de critères]] &amp; Tableau168[[#This Row],[Rubrique]], INDIRECT($O$3&amp;"!A:A") &amp; INDIRECT($O$3&amp;"!B:B"), INDIRECT($O$3&amp;"!J:J"), "Non trouvé")</f>
        <v>0</v>
      </c>
      <c r="F7" s="79" t="s">
        <v>815</v>
      </c>
      <c r="G7" s="81">
        <f ca="1">AVERAGE(G5:G6)</f>
        <v>0</v>
      </c>
      <c r="H7" s="81">
        <f t="shared" ref="H7:K7" ca="1" si="0">AVERAGE(H5:H6)</f>
        <v>0</v>
      </c>
      <c r="I7" s="81">
        <f t="shared" ca="1" si="0"/>
        <v>0</v>
      </c>
      <c r="J7" s="81">
        <f t="shared" ca="1" si="0"/>
        <v>0</v>
      </c>
      <c r="K7" s="81">
        <f t="shared" ca="1" si="0"/>
        <v>0</v>
      </c>
    </row>
    <row r="8" spans="1:16" ht="22.8" x14ac:dyDescent="0.3">
      <c r="A8" s="115" t="s">
        <v>659</v>
      </c>
      <c r="B8" s="115" t="s">
        <v>662</v>
      </c>
      <c r="C8" s="117" cm="1">
        <f t="array" aca="1" ref="C8" ca="1">_xlfn.XLOOKUP(Tableau168[[#This Row],[Bloc de critères]] &amp; Tableau168[[#This Row],[Rubrique]], INDIRECT($O$3&amp;"!A:A") &amp; INDIRECT($O$3&amp;"!B:B"), INDIRECT($O$3&amp;"!F:F"), "Non trouvé")</f>
        <v>0</v>
      </c>
      <c r="D8" s="116" cm="1">
        <f t="array" aca="1" ref="D8" ca="1">_xlfn.XLOOKUP(Tableau168[[#This Row],[Bloc de critères]] &amp; Tableau168[[#This Row],[Rubrique]], INDIRECT($O$3&amp;"!A:A") &amp; INDIRECT($O$3&amp;"!B:B"), INDIRECT($O$3&amp;"!J:J"), "Non trouvé")</f>
        <v>0</v>
      </c>
    </row>
    <row r="9" spans="1:16" x14ac:dyDescent="0.3">
      <c r="A9" s="115" t="s">
        <v>659</v>
      </c>
      <c r="B9" s="115" t="s">
        <v>664</v>
      </c>
      <c r="C9" s="117" cm="1">
        <f t="array" aca="1" ref="C9" ca="1">_xlfn.XLOOKUP(Tableau168[[#This Row],[Bloc de critères]] &amp; Tableau168[[#This Row],[Rubrique]], INDIRECT($O$3&amp;"!A:A") &amp; INDIRECT($O$3&amp;"!B:B"), INDIRECT($O$3&amp;"!F:F"), "Non trouvé")</f>
        <v>0</v>
      </c>
      <c r="D9" s="116" cm="1">
        <f t="array" aca="1" ref="D9" ca="1">_xlfn.XLOOKUP(Tableau168[[#This Row],[Bloc de critères]] &amp; Tableau168[[#This Row],[Rubrique]], INDIRECT($O$3&amp;"!A:A") &amp; INDIRECT($O$3&amp;"!B:B"), INDIRECT($O$3&amp;"!J:J"), "Non trouvé")</f>
        <v>0</v>
      </c>
    </row>
    <row r="10" spans="1:16" x14ac:dyDescent="0.3">
      <c r="A10" s="115" t="s">
        <v>659</v>
      </c>
      <c r="B10" s="115" t="s">
        <v>667</v>
      </c>
      <c r="C10" s="117" cm="1">
        <f t="array" aca="1" ref="C10" ca="1">_xlfn.XLOOKUP(Tableau168[[#This Row],[Bloc de critères]] &amp; Tableau168[[#This Row],[Rubrique]], INDIRECT($O$3&amp;"!A:A") &amp; INDIRECT($O$3&amp;"!B:B"), INDIRECT($O$3&amp;"!F:F"), "Non trouvé")</f>
        <v>0</v>
      </c>
      <c r="D10" s="116" cm="1">
        <f t="array" aca="1" ref="D10" ca="1">_xlfn.XLOOKUP(Tableau168[[#This Row],[Bloc de critères]] &amp; Tableau168[[#This Row],[Rubrique]], INDIRECT($O$3&amp;"!A:A") &amp; INDIRECT($O$3&amp;"!B:B"), INDIRECT($O$3&amp;"!J:J"), "Non trouvé")</f>
        <v>0</v>
      </c>
    </row>
    <row r="11" spans="1:16" x14ac:dyDescent="0.3">
      <c r="A11" s="115" t="s">
        <v>659</v>
      </c>
      <c r="B11" s="115" t="s">
        <v>668</v>
      </c>
      <c r="C11" s="117" cm="1">
        <f t="array" aca="1" ref="C11" ca="1">_xlfn.XLOOKUP(Tableau168[[#This Row],[Bloc de critères]] &amp; Tableau168[[#This Row],[Rubrique]], INDIRECT($O$3&amp;"!A:A") &amp; INDIRECT($O$3&amp;"!B:B"), INDIRECT($O$3&amp;"!F:F"), "Non trouvé")</f>
        <v>0</v>
      </c>
      <c r="D11" s="116" cm="1">
        <f t="array" aca="1" ref="D11" ca="1">_xlfn.XLOOKUP(Tableau168[[#This Row],[Bloc de critères]] &amp; Tableau168[[#This Row],[Rubrique]], INDIRECT($O$3&amp;"!A:A") &amp; INDIRECT($O$3&amp;"!B:B"), INDIRECT($O$3&amp;"!J:J"), "Non trouvé")</f>
        <v>0</v>
      </c>
    </row>
    <row r="12" spans="1:16" x14ac:dyDescent="0.3">
      <c r="A12" s="115" t="s">
        <v>669</v>
      </c>
      <c r="B12" s="115" t="s">
        <v>671</v>
      </c>
      <c r="C12" s="117" cm="1">
        <f t="array" aca="1" ref="C12" ca="1">_xlfn.XLOOKUP(Tableau168[[#This Row],[Bloc de critères]] &amp; Tableau168[[#This Row],[Rubrique]], INDIRECT($O$3&amp;"!A:A") &amp; INDIRECT($O$3&amp;"!B:B"), INDIRECT($O$3&amp;"!F:F"), "Non trouvé")</f>
        <v>0</v>
      </c>
      <c r="D12" s="116" cm="1">
        <f t="array" aca="1" ref="D12" ca="1">_xlfn.XLOOKUP(Tableau168[[#This Row],[Bloc de critères]] &amp; Tableau168[[#This Row],[Rubrique]], INDIRECT($O$3&amp;"!A:A") &amp; INDIRECT($O$3&amp;"!B:B"), INDIRECT($O$3&amp;"!J:J"), "Non trouvé")</f>
        <v>0</v>
      </c>
    </row>
    <row r="13" spans="1:16" ht="22.8" x14ac:dyDescent="0.3">
      <c r="A13" s="115" t="s">
        <v>669</v>
      </c>
      <c r="B13" s="115" t="s">
        <v>673</v>
      </c>
      <c r="C13" s="117" cm="1">
        <f t="array" aca="1" ref="C13" ca="1">_xlfn.XLOOKUP(Tableau168[[#This Row],[Bloc de critères]] &amp; Tableau168[[#This Row],[Rubrique]], INDIRECT($O$3&amp;"!A:A") &amp; INDIRECT($O$3&amp;"!B:B"), INDIRECT($O$3&amp;"!F:F"), "Non trouvé")</f>
        <v>0</v>
      </c>
      <c r="D13" s="116" cm="1">
        <f t="array" aca="1" ref="D13" ca="1">_xlfn.XLOOKUP(Tableau168[[#This Row],[Bloc de critères]] &amp; Tableau168[[#This Row],[Rubrique]], INDIRECT($O$3&amp;"!A:A") &amp; INDIRECT($O$3&amp;"!B:B"), INDIRECT($O$3&amp;"!J:J"), "Non trouvé")</f>
        <v>0</v>
      </c>
    </row>
    <row r="14" spans="1:16" x14ac:dyDescent="0.3">
      <c r="A14" s="115" t="s">
        <v>669</v>
      </c>
      <c r="B14" s="115" t="s">
        <v>675</v>
      </c>
      <c r="C14" s="117" cm="1">
        <f t="array" aca="1" ref="C14" ca="1">_xlfn.XLOOKUP(Tableau168[[#This Row],[Bloc de critères]] &amp; Tableau168[[#This Row],[Rubrique]], INDIRECT($O$3&amp;"!A:A") &amp; INDIRECT($O$3&amp;"!B:B"), INDIRECT($O$3&amp;"!F:F"), "Non trouvé")</f>
        <v>0</v>
      </c>
      <c r="D14" s="116" cm="1">
        <f t="array" aca="1" ref="D14" ca="1">_xlfn.XLOOKUP(Tableau168[[#This Row],[Bloc de critères]] &amp; Tableau168[[#This Row],[Rubrique]], INDIRECT($O$3&amp;"!A:A") &amp; INDIRECT($O$3&amp;"!B:B"), INDIRECT($O$3&amp;"!J:J"), "Non trouvé")</f>
        <v>0</v>
      </c>
    </row>
    <row r="15" spans="1:16" ht="22.8" x14ac:dyDescent="0.3">
      <c r="A15" s="115" t="s">
        <v>676</v>
      </c>
      <c r="B15" s="115" t="s">
        <v>677</v>
      </c>
      <c r="C15" s="117" cm="1">
        <f t="array" aca="1" ref="C15" ca="1">_xlfn.XLOOKUP(Tableau168[[#This Row],[Bloc de critères]] &amp; Tableau168[[#This Row],[Rubrique]], INDIRECT($O$3&amp;"!A:A") &amp; INDIRECT($O$3&amp;"!B:B"), INDIRECT($O$3&amp;"!F:F"), "Non trouvé")</f>
        <v>0</v>
      </c>
      <c r="D15" s="116" cm="1">
        <f t="array" aca="1" ref="D15" ca="1">_xlfn.XLOOKUP(Tableau168[[#This Row],[Bloc de critères]] &amp; Tableau168[[#This Row],[Rubrique]], INDIRECT($O$3&amp;"!A:A") &amp; INDIRECT($O$3&amp;"!B:B"), INDIRECT($O$3&amp;"!J:J"), "Non trouvé")</f>
        <v>0</v>
      </c>
    </row>
    <row r="16" spans="1:16" x14ac:dyDescent="0.3">
      <c r="A16" s="115" t="s">
        <v>676</v>
      </c>
      <c r="B16" s="115" t="s">
        <v>678</v>
      </c>
      <c r="C16" s="117" cm="1">
        <f t="array" aca="1" ref="C16" ca="1">_xlfn.XLOOKUP(Tableau168[[#This Row],[Bloc de critères]] &amp; Tableau168[[#This Row],[Rubrique]], INDIRECT($O$3&amp;"!A:A") &amp; INDIRECT($O$3&amp;"!B:B"), INDIRECT($O$3&amp;"!F:F"), "Non trouvé")</f>
        <v>0</v>
      </c>
      <c r="D16" s="116" t="str" cm="1">
        <f t="array" aca="1" ref="D16" ca="1">_xlfn.XLOOKUP(Tableau168[[#This Row],[Bloc de critères]] &amp; Tableau168[[#This Row],[Rubrique]], INDIRECT($O$3&amp;"!A:A") &amp; INDIRECT($O$3&amp;"!B:B"), INDIRECT($O$3&amp;"!J:J"), "Non trouvé")</f>
        <v>Non appliqué</v>
      </c>
    </row>
    <row r="17" spans="1:4" x14ac:dyDescent="0.3">
      <c r="A17" s="115" t="s">
        <v>680</v>
      </c>
      <c r="B17" s="115" t="s">
        <v>682</v>
      </c>
      <c r="C17" s="117" cm="1">
        <f t="array" aca="1" ref="C17" ca="1">_xlfn.XLOOKUP(Tableau168[[#This Row],[Bloc de critères]] &amp; Tableau168[[#This Row],[Rubrique]], INDIRECT($O$3&amp;"!A:A") &amp; INDIRECT($O$3&amp;"!B:B"), INDIRECT($O$3&amp;"!F:F"), "Non trouvé")</f>
        <v>0</v>
      </c>
      <c r="D17" s="116" cm="1">
        <f t="array" aca="1" ref="D17" ca="1">_xlfn.XLOOKUP(Tableau168[[#This Row],[Bloc de critères]] &amp; Tableau168[[#This Row],[Rubrique]], INDIRECT($O$3&amp;"!A:A") &amp; INDIRECT($O$3&amp;"!B:B"), INDIRECT($O$3&amp;"!J:J"), "Non trouvé")</f>
        <v>0</v>
      </c>
    </row>
    <row r="18" spans="1:4" ht="22.8" x14ac:dyDescent="0.3">
      <c r="A18" s="115" t="s">
        <v>680</v>
      </c>
      <c r="B18" s="115" t="s">
        <v>685</v>
      </c>
      <c r="C18" s="117" cm="1">
        <f t="array" aca="1" ref="C18" ca="1">_xlfn.XLOOKUP(Tableau168[[#This Row],[Bloc de critères]] &amp; Tableau168[[#This Row],[Rubrique]], INDIRECT($O$3&amp;"!A:A") &amp; INDIRECT($O$3&amp;"!B:B"), INDIRECT($O$3&amp;"!F:F"), "Non trouvé")</f>
        <v>0</v>
      </c>
      <c r="D18" s="116" t="str" cm="1">
        <f t="array" aca="1" ref="D18" ca="1">_xlfn.XLOOKUP(Tableau168[[#This Row],[Bloc de critères]] &amp; Tableau168[[#This Row],[Rubrique]], INDIRECT($O$3&amp;"!A:A") &amp; INDIRECT($O$3&amp;"!B:B"), INDIRECT($O$3&amp;"!J:J"), "Non trouvé")</f>
        <v>Non appliqué</v>
      </c>
    </row>
    <row r="19" spans="1:4" x14ac:dyDescent="0.3">
      <c r="A19" s="115" t="s">
        <v>686</v>
      </c>
      <c r="B19" s="115" t="s">
        <v>682</v>
      </c>
      <c r="C19" s="117" cm="1">
        <f t="array" aca="1" ref="C19" ca="1">_xlfn.XLOOKUP(Tableau168[[#This Row],[Bloc de critères]] &amp; Tableau168[[#This Row],[Rubrique]], INDIRECT($O$3&amp;"!A:A") &amp; INDIRECT($O$3&amp;"!B:B"), INDIRECT($O$3&amp;"!F:F"), "Non trouvé")</f>
        <v>0</v>
      </c>
      <c r="D19" s="116" cm="1">
        <f t="array" aca="1" ref="D19" ca="1">_xlfn.XLOOKUP(Tableau168[[#This Row],[Bloc de critères]] &amp; Tableau168[[#This Row],[Rubrique]], INDIRECT($O$3&amp;"!A:A") &amp; INDIRECT($O$3&amp;"!B:B"), INDIRECT($O$3&amp;"!J:J"), "Non trouvé")</f>
        <v>0</v>
      </c>
    </row>
    <row r="20" spans="1:4" ht="22.8" x14ac:dyDescent="0.3">
      <c r="A20" s="115" t="s">
        <v>686</v>
      </c>
      <c r="B20" s="115" t="s">
        <v>685</v>
      </c>
      <c r="C20" s="117" cm="1">
        <f t="array" aca="1" ref="C20" ca="1">_xlfn.XLOOKUP(Tableau168[[#This Row],[Bloc de critères]] &amp; Tableau168[[#This Row],[Rubrique]], INDIRECT($O$3&amp;"!A:A") &amp; INDIRECT($O$3&amp;"!B:B"), INDIRECT($O$3&amp;"!F:F"), "Non trouvé")</f>
        <v>0</v>
      </c>
      <c r="D20" s="116" cm="1">
        <f t="array" aca="1" ref="D20" ca="1">_xlfn.XLOOKUP(Tableau168[[#This Row],[Bloc de critères]] &amp; Tableau168[[#This Row],[Rubrique]], INDIRECT($O$3&amp;"!A:A") &amp; INDIRECT($O$3&amp;"!B:B"), INDIRECT($O$3&amp;"!J:J"), "Non trouvé")</f>
        <v>0</v>
      </c>
    </row>
    <row r="21" spans="1:4" ht="22.8" x14ac:dyDescent="0.3">
      <c r="A21" s="115" t="s">
        <v>692</v>
      </c>
      <c r="B21" s="115" t="s">
        <v>682</v>
      </c>
      <c r="C21" s="117" t="str" cm="1">
        <f t="array" aca="1" ref="C21" ca="1">_xlfn.XLOOKUP(Tableau168[[#This Row],[Bloc de critères]] &amp; Tableau168[[#This Row],[Rubrique]], INDIRECT($O$3&amp;"!A:A") &amp; INDIRECT($O$3&amp;"!B:B"), INDIRECT($O$3&amp;"!F:F"), "Non trouvé")</f>
        <v>Non appliqué</v>
      </c>
      <c r="D21" s="116" cm="1">
        <f t="array" aca="1" ref="D21" ca="1">_xlfn.XLOOKUP(Tableau168[[#This Row],[Bloc de critères]] &amp; Tableau168[[#This Row],[Rubrique]], INDIRECT($O$3&amp;"!A:A") &amp; INDIRECT($O$3&amp;"!B:B"), INDIRECT($O$3&amp;"!J:J"), "Non trouvé")</f>
        <v>0</v>
      </c>
    </row>
    <row r="22" spans="1:4" ht="22.8" x14ac:dyDescent="0.3">
      <c r="A22" s="115" t="s">
        <v>692</v>
      </c>
      <c r="B22" s="115" t="s">
        <v>685</v>
      </c>
      <c r="C22" s="117" t="str" cm="1">
        <f t="array" aca="1" ref="C22" ca="1">_xlfn.XLOOKUP(Tableau168[[#This Row],[Bloc de critères]] &amp; Tableau168[[#This Row],[Rubrique]], INDIRECT($O$3&amp;"!A:A") &amp; INDIRECT($O$3&amp;"!B:B"), INDIRECT($O$3&amp;"!F:F"), "Non trouvé")</f>
        <v>Non appliqué</v>
      </c>
      <c r="D22" s="116" cm="1">
        <f t="array" aca="1" ref="D22" ca="1">_xlfn.XLOOKUP(Tableau168[[#This Row],[Bloc de critères]] &amp; Tableau168[[#This Row],[Rubrique]], INDIRECT($O$3&amp;"!A:A") &amp; INDIRECT($O$3&amp;"!B:B"), INDIRECT($O$3&amp;"!J:J"), "Non trouvé")</f>
        <v>0</v>
      </c>
    </row>
    <row r="23" spans="1:4" x14ac:dyDescent="0.3">
      <c r="A23" s="115" t="s">
        <v>694</v>
      </c>
      <c r="B23" s="115" t="s">
        <v>682</v>
      </c>
      <c r="C23" s="117" cm="1">
        <f t="array" aca="1" ref="C23" ca="1">_xlfn.XLOOKUP(Tableau168[[#This Row],[Bloc de critères]] &amp; Tableau168[[#This Row],[Rubrique]], INDIRECT($O$3&amp;"!A:A") &amp; INDIRECT($O$3&amp;"!B:B"), INDIRECT($O$3&amp;"!F:F"), "Non trouvé")</f>
        <v>0</v>
      </c>
      <c r="D23" s="116" cm="1">
        <f t="array" aca="1" ref="D23" ca="1">_xlfn.XLOOKUP(Tableau168[[#This Row],[Bloc de critères]] &amp; Tableau168[[#This Row],[Rubrique]], INDIRECT($O$3&amp;"!A:A") &amp; INDIRECT($O$3&amp;"!B:B"), INDIRECT($O$3&amp;"!J:J"), "Non trouvé")</f>
        <v>0</v>
      </c>
    </row>
    <row r="24" spans="1:4" ht="22.8" x14ac:dyDescent="0.3">
      <c r="A24" s="115" t="s">
        <v>694</v>
      </c>
      <c r="B24" s="115" t="s">
        <v>685</v>
      </c>
      <c r="C24" s="117" cm="1">
        <f t="array" aca="1" ref="C24" ca="1">_xlfn.XLOOKUP(Tableau168[[#This Row],[Bloc de critères]] &amp; Tableau168[[#This Row],[Rubrique]], INDIRECT($O$3&amp;"!A:A") &amp; INDIRECT($O$3&amp;"!B:B"), INDIRECT($O$3&amp;"!F:F"), "Non trouvé")</f>
        <v>0</v>
      </c>
      <c r="D24" s="116" cm="1">
        <f t="array" aca="1" ref="D24" ca="1">_xlfn.XLOOKUP(Tableau168[[#This Row],[Bloc de critères]] &amp; Tableau168[[#This Row],[Rubrique]], INDIRECT($O$3&amp;"!A:A") &amp; INDIRECT($O$3&amp;"!B:B"), INDIRECT($O$3&amp;"!J:J"), "Non trouvé")</f>
        <v>0</v>
      </c>
    </row>
    <row r="25" spans="1:4" ht="34.200000000000003" x14ac:dyDescent="0.3">
      <c r="A25" s="115" t="s">
        <v>699</v>
      </c>
      <c r="B25" s="115" t="s">
        <v>701</v>
      </c>
      <c r="C25" s="117" t="str" cm="1">
        <f t="array" aca="1" ref="C25" ca="1">_xlfn.XLOOKUP(Tableau168[[#This Row],[Bloc de critères]] &amp; Tableau168[[#This Row],[Rubrique]], INDIRECT($O$3&amp;"!A:A") &amp; INDIRECT($O$3&amp;"!B:B"), INDIRECT($O$3&amp;"!F:F"), "Non trouvé")</f>
        <v>Non appliqué</v>
      </c>
      <c r="D25" s="116" cm="1">
        <f t="array" aca="1" ref="D25" ca="1">_xlfn.XLOOKUP(Tableau168[[#This Row],[Bloc de critères]] &amp; Tableau168[[#This Row],[Rubrique]], INDIRECT($O$3&amp;"!A:A") &amp; INDIRECT($O$3&amp;"!B:B"), INDIRECT($O$3&amp;"!J:J"), "Non trouvé")</f>
        <v>0</v>
      </c>
    </row>
    <row r="26" spans="1:4" ht="34.200000000000003" x14ac:dyDescent="0.3">
      <c r="A26" s="115" t="s">
        <v>699</v>
      </c>
      <c r="B26" s="115" t="s">
        <v>702</v>
      </c>
      <c r="C26" s="117" t="str" cm="1">
        <f t="array" aca="1" ref="C26" ca="1">_xlfn.XLOOKUP(Tableau168[[#This Row],[Bloc de critères]] &amp; Tableau168[[#This Row],[Rubrique]], INDIRECT($O$3&amp;"!A:A") &amp; INDIRECT($O$3&amp;"!B:B"), INDIRECT($O$3&amp;"!F:F"), "Non trouvé")</f>
        <v>Non appliqué</v>
      </c>
      <c r="D26" s="116" cm="1">
        <f t="array" aca="1" ref="D26" ca="1">_xlfn.XLOOKUP(Tableau168[[#This Row],[Bloc de critères]] &amp; Tableau168[[#This Row],[Rubrique]], INDIRECT($O$3&amp;"!A:A") &amp; INDIRECT($O$3&amp;"!B:B"), INDIRECT($O$3&amp;"!J:J"), "Non trouvé")</f>
        <v>0</v>
      </c>
    </row>
    <row r="27" spans="1:4" ht="34.200000000000003" x14ac:dyDescent="0.3">
      <c r="A27" s="115" t="s">
        <v>699</v>
      </c>
      <c r="B27" s="115" t="s">
        <v>703</v>
      </c>
      <c r="C27" s="117" t="str" cm="1">
        <f t="array" aca="1" ref="C27" ca="1">_xlfn.XLOOKUP(Tableau168[[#This Row],[Bloc de critères]] &amp; Tableau168[[#This Row],[Rubrique]], INDIRECT($O$3&amp;"!A:A") &amp; INDIRECT($O$3&amp;"!B:B"), INDIRECT($O$3&amp;"!F:F"), "Non trouvé")</f>
        <v>Non appliqué</v>
      </c>
      <c r="D27" s="116" cm="1">
        <f t="array" aca="1" ref="D27" ca="1">_xlfn.XLOOKUP(Tableau168[[#This Row],[Bloc de critères]] &amp; Tableau168[[#This Row],[Rubrique]], INDIRECT($O$3&amp;"!A:A") &amp; INDIRECT($O$3&amp;"!B:B"), INDIRECT($O$3&amp;"!J:J"), "Non trouvé")</f>
        <v>0</v>
      </c>
    </row>
    <row r="28" spans="1:4" ht="22.8" x14ac:dyDescent="0.3">
      <c r="A28" s="115" t="s">
        <v>704</v>
      </c>
      <c r="B28" s="115" t="s">
        <v>706</v>
      </c>
      <c r="C28" s="117" t="str" cm="1">
        <f t="array" aca="1" ref="C28" ca="1">_xlfn.XLOOKUP(Tableau168[[#This Row],[Bloc de critères]] &amp; Tableau168[[#This Row],[Rubrique]], INDIRECT($O$3&amp;"!A:A") &amp; INDIRECT($O$3&amp;"!B:B"), INDIRECT($O$3&amp;"!F:F"), "Non trouvé")</f>
        <v>Non appliqué</v>
      </c>
      <c r="D28" s="116" cm="1">
        <f t="array" aca="1" ref="D28" ca="1">_xlfn.XLOOKUP(Tableau168[[#This Row],[Bloc de critères]] &amp; Tableau168[[#This Row],[Rubrique]], INDIRECT($O$3&amp;"!A:A") &amp; INDIRECT($O$3&amp;"!B:B"), INDIRECT($O$3&amp;"!J:J"), "Non trouvé")</f>
        <v>0</v>
      </c>
    </row>
    <row r="29" spans="1:4" x14ac:dyDescent="0.3">
      <c r="A29" s="115" t="s">
        <v>704</v>
      </c>
      <c r="B29" s="115" t="s">
        <v>707</v>
      </c>
      <c r="C29" s="117" t="str" cm="1">
        <f t="array" aca="1" ref="C29" ca="1">_xlfn.XLOOKUP(Tableau168[[#This Row],[Bloc de critères]] &amp; Tableau168[[#This Row],[Rubrique]], INDIRECT($O$3&amp;"!A:A") &amp; INDIRECT($O$3&amp;"!B:B"), INDIRECT($O$3&amp;"!F:F"), "Non trouvé")</f>
        <v>Non appliqué</v>
      </c>
      <c r="D29" s="116" cm="1">
        <f t="array" aca="1" ref="D29" ca="1">_xlfn.XLOOKUP(Tableau168[[#This Row],[Bloc de critères]] &amp; Tableau168[[#This Row],[Rubrique]], INDIRECT($O$3&amp;"!A:A") &amp; INDIRECT($O$3&amp;"!B:B"), INDIRECT($O$3&amp;"!J:J"), "Non trouvé")</f>
        <v>0</v>
      </c>
    </row>
    <row r="30" spans="1:4" x14ac:dyDescent="0.3">
      <c r="A30" s="115" t="s">
        <v>704</v>
      </c>
      <c r="B30" s="115" t="s">
        <v>709</v>
      </c>
      <c r="C30" s="117" t="str" cm="1">
        <f t="array" aca="1" ref="C30" ca="1">_xlfn.XLOOKUP(Tableau168[[#This Row],[Bloc de critères]] &amp; Tableau168[[#This Row],[Rubrique]], INDIRECT($O$3&amp;"!A:A") &amp; INDIRECT($O$3&amp;"!B:B"), INDIRECT($O$3&amp;"!F:F"), "Non trouvé")</f>
        <v>Non appliqué</v>
      </c>
      <c r="D30" s="116" cm="1">
        <f t="array" aca="1" ref="D30" ca="1">_xlfn.XLOOKUP(Tableau168[[#This Row],[Bloc de critères]] &amp; Tableau168[[#This Row],[Rubrique]], INDIRECT($O$3&amp;"!A:A") &amp; INDIRECT($O$3&amp;"!B:B"), INDIRECT($O$3&amp;"!J:J"), "Non trouvé")</f>
        <v>0</v>
      </c>
    </row>
    <row r="31" spans="1:4" x14ac:dyDescent="0.3">
      <c r="A31" s="115" t="s">
        <v>704</v>
      </c>
      <c r="B31" s="115" t="s">
        <v>710</v>
      </c>
      <c r="C31" s="117" t="str" cm="1">
        <f t="array" aca="1" ref="C31" ca="1">_xlfn.XLOOKUP(Tableau168[[#This Row],[Bloc de critères]] &amp; Tableau168[[#This Row],[Rubrique]], INDIRECT($O$3&amp;"!A:A") &amp; INDIRECT($O$3&amp;"!B:B"), INDIRECT($O$3&amp;"!F:F"), "Non trouvé")</f>
        <v>Non appliqué</v>
      </c>
      <c r="D31" s="116" cm="1">
        <f t="array" aca="1" ref="D31" ca="1">_xlfn.XLOOKUP(Tableau168[[#This Row],[Bloc de critères]] &amp; Tableau168[[#This Row],[Rubrique]], INDIRECT($O$3&amp;"!A:A") &amp; INDIRECT($O$3&amp;"!B:B"), INDIRECT($O$3&amp;"!J:J"), "Non trouvé")</f>
        <v>0</v>
      </c>
    </row>
    <row r="32" spans="1:4" x14ac:dyDescent="0.3">
      <c r="A32" s="115" t="s">
        <v>704</v>
      </c>
      <c r="B32" s="115" t="s">
        <v>712</v>
      </c>
      <c r="C32" s="117" t="str" cm="1">
        <f t="array" aca="1" ref="C32" ca="1">_xlfn.XLOOKUP(Tableau168[[#This Row],[Bloc de critères]] &amp; Tableau168[[#This Row],[Rubrique]], INDIRECT($O$3&amp;"!A:A") &amp; INDIRECT($O$3&amp;"!B:B"), INDIRECT($O$3&amp;"!F:F"), "Non trouvé")</f>
        <v>Non appliqué</v>
      </c>
      <c r="D32" s="116" cm="1">
        <f t="array" aca="1" ref="D32" ca="1">_xlfn.XLOOKUP(Tableau168[[#This Row],[Bloc de critères]] &amp; Tableau168[[#This Row],[Rubrique]], INDIRECT($O$3&amp;"!A:A") &amp; INDIRECT($O$3&amp;"!B:B"), INDIRECT($O$3&amp;"!J:J"), "Non trouvé")</f>
        <v>0</v>
      </c>
    </row>
    <row r="33" spans="1:4" ht="22.8" x14ac:dyDescent="0.3">
      <c r="A33" s="115" t="s">
        <v>704</v>
      </c>
      <c r="B33" s="115" t="s">
        <v>715</v>
      </c>
      <c r="C33" s="117" t="str" cm="1">
        <f t="array" aca="1" ref="C33" ca="1">_xlfn.XLOOKUP(Tableau168[[#This Row],[Bloc de critères]] &amp; Tableau168[[#This Row],[Rubrique]], INDIRECT($O$3&amp;"!A:A") &amp; INDIRECT($O$3&amp;"!B:B"), INDIRECT($O$3&amp;"!F:F"), "Non trouvé")</f>
        <v>Non appliqué</v>
      </c>
      <c r="D33" s="116" cm="1">
        <f t="array" aca="1" ref="D33" ca="1">_xlfn.XLOOKUP(Tableau168[[#This Row],[Bloc de critères]] &amp; Tableau168[[#This Row],[Rubrique]], INDIRECT($O$3&amp;"!A:A") &amp; INDIRECT($O$3&amp;"!B:B"), INDIRECT($O$3&amp;"!J:J"), "Non trouvé")</f>
        <v>0</v>
      </c>
    </row>
    <row r="34" spans="1:4" x14ac:dyDescent="0.3">
      <c r="A34" s="115" t="s">
        <v>704</v>
      </c>
      <c r="B34" s="115" t="s">
        <v>717</v>
      </c>
      <c r="C34" s="117" cm="1">
        <f t="array" aca="1" ref="C34" ca="1">_xlfn.XLOOKUP(Tableau168[[#This Row],[Bloc de critères]] &amp; Tableau168[[#This Row],[Rubrique]], INDIRECT($O$3&amp;"!A:A") &amp; INDIRECT($O$3&amp;"!B:B"), INDIRECT($O$3&amp;"!F:F"), "Non trouvé")</f>
        <v>0</v>
      </c>
      <c r="D34" s="116" cm="1">
        <f t="array" aca="1" ref="D34" ca="1">_xlfn.XLOOKUP(Tableau168[[#This Row],[Bloc de critères]] &amp; Tableau168[[#This Row],[Rubrique]], INDIRECT($O$3&amp;"!A:A") &amp; INDIRECT($O$3&amp;"!B:B"), INDIRECT($O$3&amp;"!J:J"), "Non trouvé")</f>
        <v>0</v>
      </c>
    </row>
    <row r="35" spans="1:4" ht="22.8" x14ac:dyDescent="0.3">
      <c r="A35" s="115" t="s">
        <v>704</v>
      </c>
      <c r="B35" s="115" t="s">
        <v>718</v>
      </c>
      <c r="C35" s="117" cm="1">
        <f t="array" aca="1" ref="C35" ca="1">_xlfn.XLOOKUP(Tableau168[[#This Row],[Bloc de critères]] &amp; Tableau168[[#This Row],[Rubrique]], INDIRECT($O$3&amp;"!A:A") &amp; INDIRECT($O$3&amp;"!B:B"), INDIRECT($O$3&amp;"!F:F"), "Non trouvé")</f>
        <v>0</v>
      </c>
      <c r="D35" s="116" cm="1">
        <f t="array" aca="1" ref="D35" ca="1">_xlfn.XLOOKUP(Tableau168[[#This Row],[Bloc de critères]] &amp; Tableau168[[#This Row],[Rubrique]], INDIRECT($O$3&amp;"!A:A") &amp; INDIRECT($O$3&amp;"!B:B"), INDIRECT($O$3&amp;"!J:J"), "Non trouvé")</f>
        <v>0</v>
      </c>
    </row>
    <row r="36" spans="1:4" x14ac:dyDescent="0.3">
      <c r="A36" s="115" t="s">
        <v>21</v>
      </c>
      <c r="B36" s="115" t="s">
        <v>682</v>
      </c>
      <c r="C36" s="117" t="str" cm="1">
        <f t="array" aca="1" ref="C36" ca="1">_xlfn.XLOOKUP(Tableau168[[#This Row],[Bloc de critères]] &amp; Tableau168[[#This Row],[Rubrique]], INDIRECT($O$3&amp;"!A:A") &amp; INDIRECT($O$3&amp;"!B:B"), INDIRECT($O$3&amp;"!F:F"), "Non trouvé")</f>
        <v>Non appliqué</v>
      </c>
      <c r="D36" s="116" cm="1">
        <f t="array" aca="1" ref="D36" ca="1">_xlfn.XLOOKUP(Tableau168[[#This Row],[Bloc de critères]] &amp; Tableau168[[#This Row],[Rubrique]], INDIRECT($O$3&amp;"!A:A") &amp; INDIRECT($O$3&amp;"!B:B"), INDIRECT($O$3&amp;"!J:J"), "Non trouvé")</f>
        <v>0</v>
      </c>
    </row>
    <row r="37" spans="1:4" ht="22.8" x14ac:dyDescent="0.3">
      <c r="A37" s="115" t="s">
        <v>21</v>
      </c>
      <c r="B37" s="115" t="s">
        <v>720</v>
      </c>
      <c r="C37" s="117" t="str" cm="1">
        <f t="array" aca="1" ref="C37" ca="1">_xlfn.XLOOKUP(Tableau168[[#This Row],[Bloc de critères]] &amp; Tableau168[[#This Row],[Rubrique]], INDIRECT($O$3&amp;"!A:A") &amp; INDIRECT($O$3&amp;"!B:B"), INDIRECT($O$3&amp;"!F:F"), "Non trouvé")</f>
        <v>Non appliqué</v>
      </c>
      <c r="D37" s="116" cm="1">
        <f t="array" aca="1" ref="D37" ca="1">_xlfn.XLOOKUP(Tableau168[[#This Row],[Bloc de critères]] &amp; Tableau168[[#This Row],[Rubrique]], INDIRECT($O$3&amp;"!A:A") &amp; INDIRECT($O$3&amp;"!B:B"), INDIRECT($O$3&amp;"!J:J"), "Non trouvé")</f>
        <v>0</v>
      </c>
    </row>
    <row r="38" spans="1:4" ht="22.8" x14ac:dyDescent="0.3">
      <c r="A38" s="115" t="s">
        <v>21</v>
      </c>
      <c r="B38" s="115" t="s">
        <v>722</v>
      </c>
      <c r="C38" s="117" t="str" cm="1">
        <f t="array" aca="1" ref="C38" ca="1">_xlfn.XLOOKUP(Tableau168[[#This Row],[Bloc de critères]] &amp; Tableau168[[#This Row],[Rubrique]], INDIRECT($O$3&amp;"!A:A") &amp; INDIRECT($O$3&amp;"!B:B"), INDIRECT($O$3&amp;"!F:F"), "Non trouvé")</f>
        <v>Non appliqué</v>
      </c>
      <c r="D38" s="116" cm="1">
        <f t="array" aca="1" ref="D38" ca="1">_xlfn.XLOOKUP(Tableau168[[#This Row],[Bloc de critères]] &amp; Tableau168[[#This Row],[Rubrique]], INDIRECT($O$3&amp;"!A:A") &amp; INDIRECT($O$3&amp;"!B:B"), INDIRECT($O$3&amp;"!J:J"), "Non trouvé")</f>
        <v>0</v>
      </c>
    </row>
    <row r="39" spans="1:4" x14ac:dyDescent="0.3">
      <c r="A39" s="115" t="s">
        <v>21</v>
      </c>
      <c r="B39" s="115" t="s">
        <v>724</v>
      </c>
      <c r="C39" s="117" t="str" cm="1">
        <f t="array" aca="1" ref="C39" ca="1">_xlfn.XLOOKUP(Tableau168[[#This Row],[Bloc de critères]] &amp; Tableau168[[#This Row],[Rubrique]], INDIRECT($O$3&amp;"!A:A") &amp; INDIRECT($O$3&amp;"!B:B"), INDIRECT($O$3&amp;"!F:F"), "Non trouvé")</f>
        <v>Non appliqué</v>
      </c>
      <c r="D39" s="116" cm="1">
        <f t="array" aca="1" ref="D39" ca="1">_xlfn.XLOOKUP(Tableau168[[#This Row],[Bloc de critères]] &amp; Tableau168[[#This Row],[Rubrique]], INDIRECT($O$3&amp;"!A:A") &amp; INDIRECT($O$3&amp;"!B:B"), INDIRECT($O$3&amp;"!J:J"), "Non trouvé")</f>
        <v>0</v>
      </c>
    </row>
    <row r="40" spans="1:4" ht="22.8" x14ac:dyDescent="0.3">
      <c r="A40" s="115" t="s">
        <v>21</v>
      </c>
      <c r="B40" s="115" t="s">
        <v>725</v>
      </c>
      <c r="C40" s="117" t="str" cm="1">
        <f t="array" aca="1" ref="C40" ca="1">_xlfn.XLOOKUP(Tableau168[[#This Row],[Bloc de critères]] &amp; Tableau168[[#This Row],[Rubrique]], INDIRECT($O$3&amp;"!A:A") &amp; INDIRECT($O$3&amp;"!B:B"), INDIRECT($O$3&amp;"!F:F"), "Non trouvé")</f>
        <v>Non appliqué</v>
      </c>
      <c r="D40" s="116" cm="1">
        <f t="array" aca="1" ref="D40" ca="1">_xlfn.XLOOKUP(Tableau168[[#This Row],[Bloc de critères]] &amp; Tableau168[[#This Row],[Rubrique]], INDIRECT($O$3&amp;"!A:A") &amp; INDIRECT($O$3&amp;"!B:B"), INDIRECT($O$3&amp;"!J:J"), "Non trouvé")</f>
        <v>0</v>
      </c>
    </row>
    <row r="41" spans="1:4" ht="22.8" x14ac:dyDescent="0.3">
      <c r="A41" s="115" t="s">
        <v>729</v>
      </c>
      <c r="B41" s="115" t="s">
        <v>729</v>
      </c>
      <c r="C41" s="117" t="str" cm="1">
        <f t="array" aca="1" ref="C41" ca="1">_xlfn.XLOOKUP(Tableau168[[#This Row],[Bloc de critères]] &amp; Tableau168[[#This Row],[Rubrique]], INDIRECT($O$3&amp;"!A:A") &amp; INDIRECT($O$3&amp;"!B:B"), INDIRECT($O$3&amp;"!F:F"), "Non trouvé")</f>
        <v>Non appliqué</v>
      </c>
      <c r="D41" s="116" cm="1">
        <f t="array" aca="1" ref="D41" ca="1">_xlfn.XLOOKUP(Tableau168[[#This Row],[Bloc de critères]] &amp; Tableau168[[#This Row],[Rubrique]], INDIRECT($O$3&amp;"!A:A") &amp; INDIRECT($O$3&amp;"!B:B"), INDIRECT($O$3&amp;"!J:J"), "Non trouvé")</f>
        <v>0</v>
      </c>
    </row>
    <row r="42" spans="1:4" ht="22.8" x14ac:dyDescent="0.3">
      <c r="A42" s="115" t="s">
        <v>731</v>
      </c>
      <c r="B42" s="115" t="s">
        <v>733</v>
      </c>
      <c r="C42" s="117" t="str" cm="1">
        <f t="array" aca="1" ref="C42" ca="1">_xlfn.XLOOKUP(Tableau168[[#This Row],[Bloc de critères]] &amp; Tableau168[[#This Row],[Rubrique]], INDIRECT($O$3&amp;"!A:A") &amp; INDIRECT($O$3&amp;"!B:B"), INDIRECT($O$3&amp;"!F:F"), "Non trouvé")</f>
        <v>Non appliqué</v>
      </c>
      <c r="D42" s="116" cm="1">
        <f t="array" aca="1" ref="D42" ca="1">_xlfn.XLOOKUP(Tableau168[[#This Row],[Bloc de critères]] &amp; Tableau168[[#This Row],[Rubrique]], INDIRECT($O$3&amp;"!A:A") &amp; INDIRECT($O$3&amp;"!B:B"), INDIRECT($O$3&amp;"!J:J"), "Non trouvé")</f>
        <v>0</v>
      </c>
    </row>
    <row r="43" spans="1:4" ht="34.200000000000003" x14ac:dyDescent="0.3">
      <c r="A43" s="115" t="s">
        <v>731</v>
      </c>
      <c r="B43" s="115" t="s">
        <v>734</v>
      </c>
      <c r="C43" s="117" t="str" cm="1">
        <f t="array" aca="1" ref="C43" ca="1">_xlfn.XLOOKUP(Tableau168[[#This Row],[Bloc de critères]] &amp; Tableau168[[#This Row],[Rubrique]], INDIRECT($O$3&amp;"!A:A") &amp; INDIRECT($O$3&amp;"!B:B"), INDIRECT($O$3&amp;"!F:F"), "Non trouvé")</f>
        <v>Non appliqué</v>
      </c>
      <c r="D43" s="116" cm="1">
        <f t="array" aca="1" ref="D43" ca="1">_xlfn.XLOOKUP(Tableau168[[#This Row],[Bloc de critères]] &amp; Tableau168[[#This Row],[Rubrique]], INDIRECT($O$3&amp;"!A:A") &amp; INDIRECT($O$3&amp;"!B:B"), INDIRECT($O$3&amp;"!J:J"), "Non trouvé")</f>
        <v>0</v>
      </c>
    </row>
    <row r="44" spans="1:4" ht="34.200000000000003" x14ac:dyDescent="0.3">
      <c r="A44" s="115" t="s">
        <v>731</v>
      </c>
      <c r="B44" s="115" t="s">
        <v>735</v>
      </c>
      <c r="C44" s="117" t="str" cm="1">
        <f t="array" aca="1" ref="C44" ca="1">_xlfn.XLOOKUP(Tableau168[[#This Row],[Bloc de critères]] &amp; Tableau168[[#This Row],[Rubrique]], INDIRECT($O$3&amp;"!A:A") &amp; INDIRECT($O$3&amp;"!B:B"), INDIRECT($O$3&amp;"!F:F"), "Non trouvé")</f>
        <v>Non appliqué</v>
      </c>
      <c r="D44" s="116" cm="1">
        <f t="array" aca="1" ref="D44" ca="1">_xlfn.XLOOKUP(Tableau168[[#This Row],[Bloc de critères]] &amp; Tableau168[[#This Row],[Rubrique]], INDIRECT($O$3&amp;"!A:A") &amp; INDIRECT($O$3&amp;"!B:B"), INDIRECT($O$3&amp;"!J:J"), "Non trouvé")</f>
        <v>0</v>
      </c>
    </row>
    <row r="45" spans="1:4" ht="34.200000000000003" x14ac:dyDescent="0.3">
      <c r="A45" s="115" t="s">
        <v>731</v>
      </c>
      <c r="B45" s="115" t="s">
        <v>736</v>
      </c>
      <c r="C45" s="117" t="str" cm="1">
        <f t="array" aca="1" ref="C45" ca="1">_xlfn.XLOOKUP(Tableau168[[#This Row],[Bloc de critères]] &amp; Tableau168[[#This Row],[Rubrique]], INDIRECT($O$3&amp;"!A:A") &amp; INDIRECT($O$3&amp;"!B:B"), INDIRECT($O$3&amp;"!F:F"), "Non trouvé")</f>
        <v>Non appliqué</v>
      </c>
      <c r="D45" s="116" cm="1">
        <f t="array" aca="1" ref="D45" ca="1">_xlfn.XLOOKUP(Tableau168[[#This Row],[Bloc de critères]] &amp; Tableau168[[#This Row],[Rubrique]], INDIRECT($O$3&amp;"!A:A") &amp; INDIRECT($O$3&amp;"!B:B"), INDIRECT($O$3&amp;"!J:J"), "Non trouvé")</f>
        <v>0</v>
      </c>
    </row>
    <row r="46" spans="1:4" ht="45.6" x14ac:dyDescent="0.3">
      <c r="A46" s="115" t="s">
        <v>731</v>
      </c>
      <c r="B46" s="115" t="s">
        <v>737</v>
      </c>
      <c r="C46" s="117" t="str" cm="1">
        <f t="array" aca="1" ref="C46" ca="1">_xlfn.XLOOKUP(Tableau168[[#This Row],[Bloc de critères]] &amp; Tableau168[[#This Row],[Rubrique]], INDIRECT($O$3&amp;"!A:A") &amp; INDIRECT($O$3&amp;"!B:B"), INDIRECT($O$3&amp;"!F:F"), "Non trouvé")</f>
        <v>Non appliqué</v>
      </c>
      <c r="D46" s="116" cm="1">
        <f t="array" aca="1" ref="D46" ca="1">_xlfn.XLOOKUP(Tableau168[[#This Row],[Bloc de critères]] &amp; Tableau168[[#This Row],[Rubrique]], INDIRECT($O$3&amp;"!A:A") &amp; INDIRECT($O$3&amp;"!B:B"), INDIRECT($O$3&amp;"!J:J"), "Non trouvé")</f>
        <v>0</v>
      </c>
    </row>
    <row r="47" spans="1:4" x14ac:dyDescent="0.3">
      <c r="A47" s="115" t="s">
        <v>738</v>
      </c>
      <c r="B47" s="115" t="s">
        <v>738</v>
      </c>
      <c r="C47" s="117" t="str" cm="1">
        <f t="array" aca="1" ref="C47" ca="1">_xlfn.XLOOKUP(Tableau168[[#This Row],[Bloc de critères]] &amp; Tableau168[[#This Row],[Rubrique]], INDIRECT($O$3&amp;"!A:A") &amp; INDIRECT($O$3&amp;"!B:B"), INDIRECT($O$3&amp;"!F:F"), "Non trouvé")</f>
        <v>Non appliqué</v>
      </c>
      <c r="D47" s="116" cm="1">
        <f t="array" aca="1" ref="D47" ca="1">_xlfn.XLOOKUP(Tableau168[[#This Row],[Bloc de critères]] &amp; Tableau168[[#This Row],[Rubrique]], INDIRECT($O$3&amp;"!A:A") &amp; INDIRECT($O$3&amp;"!B:B"), INDIRECT($O$3&amp;"!J:J"), "Non trouvé")</f>
        <v>0</v>
      </c>
    </row>
    <row r="48" spans="1:4" x14ac:dyDescent="0.3">
      <c r="A48" s="115" t="s">
        <v>739</v>
      </c>
      <c r="B48" s="115" t="s">
        <v>682</v>
      </c>
      <c r="C48" s="117" cm="1">
        <f t="array" aca="1" ref="C48" ca="1">_xlfn.XLOOKUP(Tableau168[[#This Row],[Bloc de critères]] &amp; Tableau168[[#This Row],[Rubrique]], INDIRECT($O$3&amp;"!A:A") &amp; INDIRECT($O$3&amp;"!B:B"), INDIRECT($O$3&amp;"!F:F"), "Non trouvé")</f>
        <v>0</v>
      </c>
      <c r="D48" s="116" cm="1">
        <f t="array" aca="1" ref="D48" ca="1">_xlfn.XLOOKUP(Tableau168[[#This Row],[Bloc de critères]] &amp; Tableau168[[#This Row],[Rubrique]], INDIRECT($O$3&amp;"!A:A") &amp; INDIRECT($O$3&amp;"!B:B"), INDIRECT($O$3&amp;"!J:J"), "Non trouvé")</f>
        <v>0</v>
      </c>
    </row>
    <row r="49" spans="1:4" x14ac:dyDescent="0.3">
      <c r="A49" s="115" t="s">
        <v>739</v>
      </c>
      <c r="B49" s="115" t="s">
        <v>742</v>
      </c>
      <c r="C49" s="117" cm="1">
        <f t="array" aca="1" ref="C49" ca="1">_xlfn.XLOOKUP(Tableau168[[#This Row],[Bloc de critères]] &amp; Tableau168[[#This Row],[Rubrique]], INDIRECT($O$3&amp;"!A:A") &amp; INDIRECT($O$3&amp;"!B:B"), INDIRECT($O$3&amp;"!F:F"), "Non trouvé")</f>
        <v>0</v>
      </c>
      <c r="D49" s="116" t="str" cm="1">
        <f t="array" aca="1" ref="D49" ca="1">_xlfn.XLOOKUP(Tableau168[[#This Row],[Bloc de critères]] &amp; Tableau168[[#This Row],[Rubrique]], INDIRECT($O$3&amp;"!A:A") &amp; INDIRECT($O$3&amp;"!B:B"), INDIRECT($O$3&amp;"!J:J"), "Non trouvé")</f>
        <v>Non appliqué</v>
      </c>
    </row>
    <row r="50" spans="1:4" ht="22.8" x14ac:dyDescent="0.3">
      <c r="A50" s="115" t="s">
        <v>739</v>
      </c>
      <c r="B50" s="115" t="s">
        <v>743</v>
      </c>
      <c r="C50" s="117" cm="1">
        <f t="array" aca="1" ref="C50" ca="1">_xlfn.XLOOKUP(Tableau168[[#This Row],[Bloc de critères]] &amp; Tableau168[[#This Row],[Rubrique]], INDIRECT($O$3&amp;"!A:A") &amp; INDIRECT($O$3&amp;"!B:B"), INDIRECT($O$3&amp;"!F:F"), "Non trouvé")</f>
        <v>0</v>
      </c>
      <c r="D50" s="116" t="str" cm="1">
        <f t="array" aca="1" ref="D50" ca="1">_xlfn.XLOOKUP(Tableau168[[#This Row],[Bloc de critères]] &amp; Tableau168[[#This Row],[Rubrique]], INDIRECT($O$3&amp;"!A:A") &amp; INDIRECT($O$3&amp;"!B:B"), INDIRECT($O$3&amp;"!J:J"), "Non trouvé")</f>
        <v>Non appliqué</v>
      </c>
    </row>
    <row r="51" spans="1:4" x14ac:dyDescent="0.3">
      <c r="A51" s="115" t="s">
        <v>739</v>
      </c>
      <c r="B51" s="115" t="s">
        <v>746</v>
      </c>
      <c r="C51" s="117" cm="1">
        <f t="array" aca="1" ref="C51" ca="1">_xlfn.XLOOKUP(Tableau168[[#This Row],[Bloc de critères]] &amp; Tableau168[[#This Row],[Rubrique]], INDIRECT($O$3&amp;"!A:A") &amp; INDIRECT($O$3&amp;"!B:B"), INDIRECT($O$3&amp;"!F:F"), "Non trouvé")</f>
        <v>0</v>
      </c>
      <c r="D51" s="116" t="str" cm="1">
        <f t="array" aca="1" ref="D51" ca="1">_xlfn.XLOOKUP(Tableau168[[#This Row],[Bloc de critères]] &amp; Tableau168[[#This Row],[Rubrique]], INDIRECT($O$3&amp;"!A:A") &amp; INDIRECT($O$3&amp;"!B:B"), INDIRECT($O$3&amp;"!J:J"), "Non trouvé")</f>
        <v>Non appliqué</v>
      </c>
    </row>
    <row r="52" spans="1:4" x14ac:dyDescent="0.3">
      <c r="A52" s="115" t="s">
        <v>739</v>
      </c>
      <c r="B52" s="115" t="s">
        <v>747</v>
      </c>
      <c r="C52" s="117" cm="1">
        <f t="array" aca="1" ref="C52" ca="1">_xlfn.XLOOKUP(Tableau168[[#This Row],[Bloc de critères]] &amp; Tableau168[[#This Row],[Rubrique]], INDIRECT($O$3&amp;"!A:A") &amp; INDIRECT($O$3&amp;"!B:B"), INDIRECT($O$3&amp;"!F:F"), "Non trouvé")</f>
        <v>0</v>
      </c>
      <c r="D52" s="116" t="str" cm="1">
        <f t="array" aca="1" ref="D52" ca="1">_xlfn.XLOOKUP(Tableau168[[#This Row],[Bloc de critères]] &amp; Tableau168[[#This Row],[Rubrique]], INDIRECT($O$3&amp;"!A:A") &amp; INDIRECT($O$3&amp;"!B:B"), INDIRECT($O$3&amp;"!J:J"), "Non trouvé")</f>
        <v>Non appliqué</v>
      </c>
    </row>
    <row r="53" spans="1:4" x14ac:dyDescent="0.3">
      <c r="A53" s="115" t="s">
        <v>739</v>
      </c>
      <c r="B53" s="115" t="s">
        <v>748</v>
      </c>
      <c r="C53" s="117" cm="1">
        <f t="array" aca="1" ref="C53" ca="1">_xlfn.XLOOKUP(Tableau168[[#This Row],[Bloc de critères]] &amp; Tableau168[[#This Row],[Rubrique]], INDIRECT($O$3&amp;"!A:A") &amp; INDIRECT($O$3&amp;"!B:B"), INDIRECT($O$3&amp;"!F:F"), "Non trouvé")</f>
        <v>0</v>
      </c>
      <c r="D53" s="116" t="str" cm="1">
        <f t="array" aca="1" ref="D53" ca="1">_xlfn.XLOOKUP(Tableau168[[#This Row],[Bloc de critères]] &amp; Tableau168[[#This Row],[Rubrique]], INDIRECT($O$3&amp;"!A:A") &amp; INDIRECT($O$3&amp;"!B:B"), INDIRECT($O$3&amp;"!J:J"), "Non trouvé")</f>
        <v>Non appliqué</v>
      </c>
    </row>
    <row r="54" spans="1:4" x14ac:dyDescent="0.3">
      <c r="A54" s="115" t="s">
        <v>739</v>
      </c>
      <c r="B54" s="115" t="s">
        <v>751</v>
      </c>
      <c r="C54" s="117" cm="1">
        <f t="array" aca="1" ref="C54" ca="1">_xlfn.XLOOKUP(Tableau168[[#This Row],[Bloc de critères]] &amp; Tableau168[[#This Row],[Rubrique]], INDIRECT($O$3&amp;"!A:A") &amp; INDIRECT($O$3&amp;"!B:B"), INDIRECT($O$3&amp;"!F:F"), "Non trouvé")</f>
        <v>0</v>
      </c>
      <c r="D54" s="116" cm="1">
        <f t="array" aca="1" ref="D54" ca="1">_xlfn.XLOOKUP(Tableau168[[#This Row],[Bloc de critères]] &amp; Tableau168[[#This Row],[Rubrique]], INDIRECT($O$3&amp;"!A:A") &amp; INDIRECT($O$3&amp;"!B:B"), INDIRECT($O$3&amp;"!J:J"), "Non trouvé")</f>
        <v>0</v>
      </c>
    </row>
    <row r="55" spans="1:4" ht="22.8" x14ac:dyDescent="0.3">
      <c r="A55" s="115" t="s">
        <v>739</v>
      </c>
      <c r="B55" s="115" t="s">
        <v>752</v>
      </c>
      <c r="C55" s="117" cm="1">
        <f t="array" aca="1" ref="C55" ca="1">_xlfn.XLOOKUP(Tableau168[[#This Row],[Bloc de critères]] &amp; Tableau168[[#This Row],[Rubrique]], INDIRECT($O$3&amp;"!A:A") &amp; INDIRECT($O$3&amp;"!B:B"), INDIRECT($O$3&amp;"!F:F"), "Non trouvé")</f>
        <v>0</v>
      </c>
      <c r="D55" s="116" t="str" cm="1">
        <f t="array" aca="1" ref="D55" ca="1">_xlfn.XLOOKUP(Tableau168[[#This Row],[Bloc de critères]] &amp; Tableau168[[#This Row],[Rubrique]], INDIRECT($O$3&amp;"!A:A") &amp; INDIRECT($O$3&amp;"!B:B"), INDIRECT($O$3&amp;"!J:J"), "Non trouvé")</f>
        <v>Non appliqué</v>
      </c>
    </row>
    <row r="56" spans="1:4" ht="34.200000000000003" x14ac:dyDescent="0.3">
      <c r="A56" s="115" t="s">
        <v>739</v>
      </c>
      <c r="B56" s="115" t="s">
        <v>753</v>
      </c>
      <c r="C56" s="117" cm="1">
        <f t="array" aca="1" ref="C56" ca="1">_xlfn.XLOOKUP(Tableau168[[#This Row],[Bloc de critères]] &amp; Tableau168[[#This Row],[Rubrique]], INDIRECT($O$3&amp;"!A:A") &amp; INDIRECT($O$3&amp;"!B:B"), INDIRECT($O$3&amp;"!F:F"), "Non trouvé")</f>
        <v>0</v>
      </c>
      <c r="D56" s="116" cm="1">
        <f t="array" aca="1" ref="D56" ca="1">_xlfn.XLOOKUP(Tableau168[[#This Row],[Bloc de critères]] &amp; Tableau168[[#This Row],[Rubrique]], INDIRECT($O$3&amp;"!A:A") &amp; INDIRECT($O$3&amp;"!B:B"), INDIRECT($O$3&amp;"!J:J"), "Non trouvé")</f>
        <v>0</v>
      </c>
    </row>
    <row r="57" spans="1:4" ht="22.8" x14ac:dyDescent="0.3">
      <c r="A57" s="115" t="s">
        <v>739</v>
      </c>
      <c r="B57" s="115" t="s">
        <v>755</v>
      </c>
      <c r="C57" s="117" cm="1">
        <f t="array" aca="1" ref="C57" ca="1">_xlfn.XLOOKUP(Tableau168[[#This Row],[Bloc de critères]] &amp; Tableau168[[#This Row],[Rubrique]], INDIRECT($O$3&amp;"!A:A") &amp; INDIRECT($O$3&amp;"!B:B"), INDIRECT($O$3&amp;"!F:F"), "Non trouvé")</f>
        <v>0</v>
      </c>
      <c r="D57" s="116" cm="1">
        <f t="array" aca="1" ref="D57" ca="1">_xlfn.XLOOKUP(Tableau168[[#This Row],[Bloc de critères]] &amp; Tableau168[[#This Row],[Rubrique]], INDIRECT($O$3&amp;"!A:A") &amp; INDIRECT($O$3&amp;"!B:B"), INDIRECT($O$3&amp;"!J:J"), "Non trouvé")</f>
        <v>0</v>
      </c>
    </row>
    <row r="58" spans="1:4" x14ac:dyDescent="0.3">
      <c r="A58" s="115" t="s">
        <v>739</v>
      </c>
      <c r="B58" s="115" t="s">
        <v>756</v>
      </c>
      <c r="C58" s="117" cm="1">
        <f t="array" aca="1" ref="C58" ca="1">_xlfn.XLOOKUP(Tableau168[[#This Row],[Bloc de critères]] &amp; Tableau168[[#This Row],[Rubrique]], INDIRECT($O$3&amp;"!A:A") &amp; INDIRECT($O$3&amp;"!B:B"), INDIRECT($O$3&amp;"!F:F"), "Non trouvé")</f>
        <v>0</v>
      </c>
      <c r="D58" s="116" cm="1">
        <f t="array" aca="1" ref="D58" ca="1">_xlfn.XLOOKUP(Tableau168[[#This Row],[Bloc de critères]] &amp; Tableau168[[#This Row],[Rubrique]], INDIRECT($O$3&amp;"!A:A") &amp; INDIRECT($O$3&amp;"!B:B"), INDIRECT($O$3&amp;"!J:J"), "Non trouvé")</f>
        <v>0</v>
      </c>
    </row>
    <row r="59" spans="1:4" ht="22.8" x14ac:dyDescent="0.3">
      <c r="A59" s="115" t="s">
        <v>757</v>
      </c>
      <c r="B59" s="115" t="s">
        <v>682</v>
      </c>
      <c r="C59" s="117" cm="1">
        <f t="array" aca="1" ref="C59" ca="1">_xlfn.XLOOKUP(Tableau168[[#This Row],[Bloc de critères]] &amp; Tableau168[[#This Row],[Rubrique]], INDIRECT($O$3&amp;"!A:A") &amp; INDIRECT($O$3&amp;"!B:B"), INDIRECT($O$3&amp;"!F:F"), "Non trouvé")</f>
        <v>0</v>
      </c>
      <c r="D59" s="116" cm="1">
        <f t="array" aca="1" ref="D59" ca="1">_xlfn.XLOOKUP(Tableau168[[#This Row],[Bloc de critères]] &amp; Tableau168[[#This Row],[Rubrique]], INDIRECT($O$3&amp;"!A:A") &amp; INDIRECT($O$3&amp;"!B:B"), INDIRECT($O$3&amp;"!J:J"), "Non trouvé")</f>
        <v>0</v>
      </c>
    </row>
    <row r="60" spans="1:4" ht="22.8" x14ac:dyDescent="0.3">
      <c r="A60" s="115" t="s">
        <v>757</v>
      </c>
      <c r="B60" s="115" t="s">
        <v>675</v>
      </c>
      <c r="C60" s="117" cm="1">
        <f t="array" aca="1" ref="C60" ca="1">_xlfn.XLOOKUP(Tableau168[[#This Row],[Bloc de critères]] &amp; Tableau168[[#This Row],[Rubrique]], INDIRECT($O$3&amp;"!A:A") &amp; INDIRECT($O$3&amp;"!B:B"), INDIRECT($O$3&amp;"!F:F"), "Non trouvé")</f>
        <v>0</v>
      </c>
      <c r="D60" s="116" cm="1">
        <f t="array" aca="1" ref="D60" ca="1">_xlfn.XLOOKUP(Tableau168[[#This Row],[Bloc de critères]] &amp; Tableau168[[#This Row],[Rubrique]], INDIRECT($O$3&amp;"!A:A") &amp; INDIRECT($O$3&amp;"!B:B"), INDIRECT($O$3&amp;"!J:J"), "Non trouvé")</f>
        <v>0</v>
      </c>
    </row>
    <row r="61" spans="1:4" ht="22.8" x14ac:dyDescent="0.3">
      <c r="A61" s="115" t="s">
        <v>757</v>
      </c>
      <c r="B61" s="115" t="s">
        <v>759</v>
      </c>
      <c r="C61" s="117" cm="1">
        <f t="array" aca="1" ref="C61" ca="1">_xlfn.XLOOKUP(Tableau168[[#This Row],[Bloc de critères]] &amp; Tableau168[[#This Row],[Rubrique]], INDIRECT($O$3&amp;"!A:A") &amp; INDIRECT($O$3&amp;"!B:B"), INDIRECT($O$3&amp;"!F:F"), "Non trouvé")</f>
        <v>0</v>
      </c>
      <c r="D61" s="116" cm="1">
        <f t="array" aca="1" ref="D61" ca="1">_xlfn.XLOOKUP(Tableau168[[#This Row],[Bloc de critères]] &amp; Tableau168[[#This Row],[Rubrique]], INDIRECT($O$3&amp;"!A:A") &amp; INDIRECT($O$3&amp;"!B:B"), INDIRECT($O$3&amp;"!J:J"), "Non trouvé")</f>
        <v>0</v>
      </c>
    </row>
    <row r="62" spans="1:4" ht="22.8" x14ac:dyDescent="0.3">
      <c r="A62" s="115" t="s">
        <v>757</v>
      </c>
      <c r="B62" s="115" t="s">
        <v>761</v>
      </c>
      <c r="C62" s="117" t="str" cm="1">
        <f t="array" aca="1" ref="C62" ca="1">_xlfn.XLOOKUP(Tableau168[[#This Row],[Bloc de critères]] &amp; Tableau168[[#This Row],[Rubrique]], INDIRECT($O$3&amp;"!A:A") &amp; INDIRECT($O$3&amp;"!B:B"), INDIRECT($O$3&amp;"!F:F"), "Non trouvé")</f>
        <v>Non appliqué</v>
      </c>
      <c r="D62" s="116" cm="1">
        <f t="array" aca="1" ref="D62" ca="1">_xlfn.XLOOKUP(Tableau168[[#This Row],[Bloc de critères]] &amp; Tableau168[[#This Row],[Rubrique]], INDIRECT($O$3&amp;"!A:A") &amp; INDIRECT($O$3&amp;"!B:B"), INDIRECT($O$3&amp;"!J:J"), "Non trouvé")</f>
        <v>0</v>
      </c>
    </row>
    <row r="63" spans="1:4" ht="22.8" x14ac:dyDescent="0.3">
      <c r="A63" s="115" t="s">
        <v>757</v>
      </c>
      <c r="B63" s="115" t="s">
        <v>762</v>
      </c>
      <c r="C63" s="117" cm="1">
        <f t="array" aca="1" ref="C63" ca="1">_xlfn.XLOOKUP(Tableau168[[#This Row],[Bloc de critères]] &amp; Tableau168[[#This Row],[Rubrique]], INDIRECT($O$3&amp;"!A:A") &amp; INDIRECT($O$3&amp;"!B:B"), INDIRECT($O$3&amp;"!F:F"), "Non trouvé")</f>
        <v>0</v>
      </c>
      <c r="D63" s="116" cm="1">
        <f t="array" aca="1" ref="D63" ca="1">_xlfn.XLOOKUP(Tableau168[[#This Row],[Bloc de critères]] &amp; Tableau168[[#This Row],[Rubrique]], INDIRECT($O$3&amp;"!A:A") &amp; INDIRECT($O$3&amp;"!B:B"), INDIRECT($O$3&amp;"!J:J"), "Non trouvé")</f>
        <v>0</v>
      </c>
    </row>
    <row r="64" spans="1:4" ht="22.8" x14ac:dyDescent="0.3">
      <c r="A64" s="115" t="s">
        <v>757</v>
      </c>
      <c r="B64" s="115" t="s">
        <v>763</v>
      </c>
      <c r="C64" s="117" cm="1">
        <f t="array" aca="1" ref="C64" ca="1">_xlfn.XLOOKUP(Tableau168[[#This Row],[Bloc de critères]] &amp; Tableau168[[#This Row],[Rubrique]], INDIRECT($O$3&amp;"!A:A") &amp; INDIRECT($O$3&amp;"!B:B"), INDIRECT($O$3&amp;"!F:F"), "Non trouvé")</f>
        <v>0</v>
      </c>
      <c r="D64" s="116" cm="1">
        <f t="array" aca="1" ref="D64" ca="1">_xlfn.XLOOKUP(Tableau168[[#This Row],[Bloc de critères]] &amp; Tableau168[[#This Row],[Rubrique]], INDIRECT($O$3&amp;"!A:A") &amp; INDIRECT($O$3&amp;"!B:B"), INDIRECT($O$3&amp;"!J:J"), "Non trouvé")</f>
        <v>0</v>
      </c>
    </row>
    <row r="65" spans="1:4" ht="22.8" x14ac:dyDescent="0.3">
      <c r="A65" s="115" t="s">
        <v>757</v>
      </c>
      <c r="B65" s="115" t="s">
        <v>765</v>
      </c>
      <c r="C65" s="117" cm="1">
        <f t="array" aca="1" ref="C65" ca="1">_xlfn.XLOOKUP(Tableau168[[#This Row],[Bloc de critères]] &amp; Tableau168[[#This Row],[Rubrique]], INDIRECT($O$3&amp;"!A:A") &amp; INDIRECT($O$3&amp;"!B:B"), INDIRECT($O$3&amp;"!F:F"), "Non trouvé")</f>
        <v>0</v>
      </c>
      <c r="D65" s="116" cm="1">
        <f t="array" aca="1" ref="D65" ca="1">_xlfn.XLOOKUP(Tableau168[[#This Row],[Bloc de critères]] &amp; Tableau168[[#This Row],[Rubrique]], INDIRECT($O$3&amp;"!A:A") &amp; INDIRECT($O$3&amp;"!B:B"), INDIRECT($O$3&amp;"!J:J"), "Non trouvé")</f>
        <v>0</v>
      </c>
    </row>
    <row r="66" spans="1:4" ht="22.8" x14ac:dyDescent="0.3">
      <c r="A66" s="115" t="s">
        <v>757</v>
      </c>
      <c r="B66" s="115" t="s">
        <v>766</v>
      </c>
      <c r="C66" s="117" cm="1">
        <f t="array" aca="1" ref="C66" ca="1">_xlfn.XLOOKUP(Tableau168[[#This Row],[Bloc de critères]] &amp; Tableau168[[#This Row],[Rubrique]], INDIRECT($O$3&amp;"!A:A") &amp; INDIRECT($O$3&amp;"!B:B"), INDIRECT($O$3&amp;"!F:F"), "Non trouvé")</f>
        <v>0</v>
      </c>
      <c r="D66" s="116" cm="1">
        <f t="array" aca="1" ref="D66" ca="1">_xlfn.XLOOKUP(Tableau168[[#This Row],[Bloc de critères]] &amp; Tableau168[[#This Row],[Rubrique]], INDIRECT($O$3&amp;"!A:A") &amp; INDIRECT($O$3&amp;"!B:B"), INDIRECT($O$3&amp;"!J:J"), "Non trouvé")</f>
        <v>0</v>
      </c>
    </row>
    <row r="67" spans="1:4" ht="22.8" x14ac:dyDescent="0.3">
      <c r="A67" s="115" t="s">
        <v>767</v>
      </c>
      <c r="B67" s="115" t="s">
        <v>768</v>
      </c>
      <c r="C67" s="117" cm="1">
        <f t="array" aca="1" ref="C67" ca="1">_xlfn.XLOOKUP(Tableau168[[#This Row],[Bloc de critères]] &amp; Tableau168[[#This Row],[Rubrique]], INDIRECT($O$3&amp;"!A:A") &amp; INDIRECT($O$3&amp;"!B:B"), INDIRECT($O$3&amp;"!F:F"), "Non trouvé")</f>
        <v>0</v>
      </c>
      <c r="D67" s="116" cm="1">
        <f t="array" aca="1" ref="D67" ca="1">_xlfn.XLOOKUP(Tableau168[[#This Row],[Bloc de critères]] &amp; Tableau168[[#This Row],[Rubrique]], INDIRECT($O$3&amp;"!A:A") &amp; INDIRECT($O$3&amp;"!B:B"), INDIRECT($O$3&amp;"!J:J"), "Non trouvé")</f>
        <v>0</v>
      </c>
    </row>
    <row r="68" spans="1:4" ht="22.8" x14ac:dyDescent="0.3">
      <c r="A68" s="115" t="s">
        <v>767</v>
      </c>
      <c r="B68" s="115" t="s">
        <v>770</v>
      </c>
      <c r="C68" s="117" cm="1">
        <f t="array" aca="1" ref="C68" ca="1">_xlfn.XLOOKUP(Tableau168[[#This Row],[Bloc de critères]] &amp; Tableau168[[#This Row],[Rubrique]], INDIRECT($O$3&amp;"!A:A") &amp; INDIRECT($O$3&amp;"!B:B"), INDIRECT($O$3&amp;"!F:F"), "Non trouvé")</f>
        <v>0</v>
      </c>
      <c r="D68" s="116" t="str" cm="1">
        <f t="array" aca="1" ref="D68" ca="1">_xlfn.XLOOKUP(Tableau168[[#This Row],[Bloc de critères]] &amp; Tableau168[[#This Row],[Rubrique]], INDIRECT($O$3&amp;"!A:A") &amp; INDIRECT($O$3&amp;"!B:B"), INDIRECT($O$3&amp;"!J:J"), "Non trouvé")</f>
        <v>Non appliqué</v>
      </c>
    </row>
    <row r="69" spans="1:4" ht="22.8" x14ac:dyDescent="0.3">
      <c r="A69" s="115" t="s">
        <v>767</v>
      </c>
      <c r="B69" s="115" t="s">
        <v>772</v>
      </c>
      <c r="C69" s="117" t="str" cm="1">
        <f t="array" aca="1" ref="C69" ca="1">_xlfn.XLOOKUP(Tableau168[[#This Row],[Bloc de critères]] &amp; Tableau168[[#This Row],[Rubrique]], INDIRECT($O$3&amp;"!A:A") &amp; INDIRECT($O$3&amp;"!B:B"), INDIRECT($O$3&amp;"!F:F"), "Non trouvé")</f>
        <v>Non appliqué</v>
      </c>
      <c r="D69" s="116" cm="1">
        <f t="array" aca="1" ref="D69" ca="1">_xlfn.XLOOKUP(Tableau168[[#This Row],[Bloc de critères]] &amp; Tableau168[[#This Row],[Rubrique]], INDIRECT($O$3&amp;"!A:A") &amp; INDIRECT($O$3&amp;"!B:B"), INDIRECT($O$3&amp;"!J:J"), "Non trouvé")</f>
        <v>0</v>
      </c>
    </row>
    <row r="70" spans="1:4" ht="22.8" x14ac:dyDescent="0.3">
      <c r="A70" s="115" t="s">
        <v>773</v>
      </c>
      <c r="B70" s="115" t="s">
        <v>775</v>
      </c>
      <c r="C70" s="117" cm="1">
        <f t="array" aca="1" ref="C70" ca="1">_xlfn.XLOOKUP(Tableau168[[#This Row],[Bloc de critères]] &amp; Tableau168[[#This Row],[Rubrique]], INDIRECT($O$3&amp;"!A:A") &amp; INDIRECT($O$3&amp;"!B:B"), INDIRECT($O$3&amp;"!F:F"), "Non trouvé")</f>
        <v>0</v>
      </c>
      <c r="D70" s="116" cm="1">
        <f t="array" aca="1" ref="D70" ca="1">_xlfn.XLOOKUP(Tableau168[[#This Row],[Bloc de critères]] &amp; Tableau168[[#This Row],[Rubrique]], INDIRECT($O$3&amp;"!A:A") &amp; INDIRECT($O$3&amp;"!B:B"), INDIRECT($O$3&amp;"!J:J"), "Non trouvé")</f>
        <v>0</v>
      </c>
    </row>
    <row r="71" spans="1:4" ht="22.8" x14ac:dyDescent="0.3">
      <c r="A71" s="115" t="s">
        <v>773</v>
      </c>
      <c r="B71" s="115" t="s">
        <v>776</v>
      </c>
      <c r="C71" s="117" cm="1">
        <f t="array" aca="1" ref="C71" ca="1">_xlfn.XLOOKUP(Tableau168[[#This Row],[Bloc de critères]] &amp; Tableau168[[#This Row],[Rubrique]], INDIRECT($O$3&amp;"!A:A") &amp; INDIRECT($O$3&amp;"!B:B"), INDIRECT($O$3&amp;"!F:F"), "Non trouvé")</f>
        <v>0</v>
      </c>
      <c r="D71" s="116" cm="1">
        <f t="array" aca="1" ref="D71" ca="1">_xlfn.XLOOKUP(Tableau168[[#This Row],[Bloc de critères]] &amp; Tableau168[[#This Row],[Rubrique]], INDIRECT($O$3&amp;"!A:A") &amp; INDIRECT($O$3&amp;"!B:B"), INDIRECT($O$3&amp;"!J:J"), "Non trouvé")</f>
        <v>0</v>
      </c>
    </row>
    <row r="72" spans="1:4" ht="22.8" x14ac:dyDescent="0.3">
      <c r="A72" s="115" t="s">
        <v>773</v>
      </c>
      <c r="B72" s="115" t="s">
        <v>777</v>
      </c>
      <c r="C72" s="117" cm="1">
        <f t="array" aca="1" ref="C72" ca="1">_xlfn.XLOOKUP(Tableau168[[#This Row],[Bloc de critères]] &amp; Tableau168[[#This Row],[Rubrique]], INDIRECT($O$3&amp;"!A:A") &amp; INDIRECT($O$3&amp;"!B:B"), INDIRECT($O$3&amp;"!F:F"), "Non trouvé")</f>
        <v>0</v>
      </c>
      <c r="D72" s="116" cm="1">
        <f t="array" aca="1" ref="D72" ca="1">_xlfn.XLOOKUP(Tableau168[[#This Row],[Bloc de critères]] &amp; Tableau168[[#This Row],[Rubrique]], INDIRECT($O$3&amp;"!A:A") &amp; INDIRECT($O$3&amp;"!B:B"), INDIRECT($O$3&amp;"!J:J"), "Non trouvé")</f>
        <v>0</v>
      </c>
    </row>
    <row r="73" spans="1:4" x14ac:dyDescent="0.3">
      <c r="A73" s="111"/>
      <c r="B73" s="111"/>
      <c r="C73" s="110"/>
      <c r="D73" s="109"/>
    </row>
    <row r="74" spans="1:4" x14ac:dyDescent="0.3">
      <c r="A74" s="112"/>
      <c r="B74" s="112"/>
      <c r="C74" s="110"/>
      <c r="D74" s="109"/>
    </row>
    <row r="75" spans="1:4" x14ac:dyDescent="0.3">
      <c r="A75" s="112"/>
      <c r="B75" s="112"/>
      <c r="C75" s="110"/>
      <c r="D75" s="109"/>
    </row>
    <row r="76" spans="1:4" x14ac:dyDescent="0.3">
      <c r="A76" s="112"/>
      <c r="B76" s="112"/>
      <c r="C76" s="110"/>
      <c r="D76" s="109"/>
    </row>
    <row r="77" spans="1:4" x14ac:dyDescent="0.3">
      <c r="A77" s="112"/>
      <c r="B77" s="112"/>
      <c r="C77" s="110"/>
      <c r="D77" s="109"/>
    </row>
    <row r="78" spans="1:4" x14ac:dyDescent="0.3">
      <c r="A78" s="112"/>
      <c r="B78" s="112"/>
      <c r="C78" s="110"/>
      <c r="D78" s="109"/>
    </row>
    <row r="79" spans="1:4" x14ac:dyDescent="0.3">
      <c r="A79" s="112"/>
      <c r="B79" s="112"/>
      <c r="C79" s="110"/>
      <c r="D79" s="109"/>
    </row>
    <row r="80" spans="1:4" x14ac:dyDescent="0.3">
      <c r="A80" s="112"/>
      <c r="B80" s="112"/>
      <c r="C80" s="110"/>
      <c r="D80" s="109"/>
    </row>
    <row r="81" spans="1:4" x14ac:dyDescent="0.3">
      <c r="A81" s="112"/>
      <c r="B81" s="112"/>
      <c r="C81" s="110"/>
      <c r="D81" s="109"/>
    </row>
    <row r="82" spans="1:4" x14ac:dyDescent="0.3">
      <c r="A82" s="112"/>
      <c r="B82" s="112"/>
      <c r="C82" s="110"/>
      <c r="D82" s="109"/>
    </row>
    <row r="83" spans="1:4" x14ac:dyDescent="0.3">
      <c r="A83" s="112"/>
      <c r="B83" s="112"/>
      <c r="C83" s="110"/>
      <c r="D83" s="109"/>
    </row>
    <row r="84" spans="1:4" x14ac:dyDescent="0.3">
      <c r="A84" s="112"/>
      <c r="B84" s="112"/>
      <c r="C84" s="110"/>
      <c r="D84" s="109"/>
    </row>
    <row r="85" spans="1:4" x14ac:dyDescent="0.3">
      <c r="A85" s="112"/>
      <c r="B85" s="112"/>
      <c r="C85" s="110"/>
      <c r="D85" s="109"/>
    </row>
    <row r="86" spans="1:4" x14ac:dyDescent="0.3">
      <c r="A86" s="112"/>
      <c r="B86" s="112"/>
      <c r="C86" s="110"/>
      <c r="D86" s="109"/>
    </row>
    <row r="87" spans="1:4" x14ac:dyDescent="0.3">
      <c r="A87" s="112"/>
      <c r="B87" s="112"/>
      <c r="C87" s="110"/>
      <c r="D87" s="109"/>
    </row>
    <row r="88" spans="1:4" x14ac:dyDescent="0.3">
      <c r="A88" s="112"/>
      <c r="B88" s="112"/>
      <c r="C88" s="110"/>
      <c r="D88" s="109"/>
    </row>
    <row r="89" spans="1:4" x14ac:dyDescent="0.3">
      <c r="A89" s="112"/>
      <c r="B89" s="112"/>
      <c r="C89" s="110"/>
      <c r="D89" s="109"/>
    </row>
    <row r="90" spans="1:4" x14ac:dyDescent="0.3">
      <c r="A90" s="112"/>
      <c r="B90" s="112"/>
      <c r="C90" s="110"/>
      <c r="D90" s="109"/>
    </row>
    <row r="91" spans="1:4" x14ac:dyDescent="0.3">
      <c r="A91"/>
      <c r="B91"/>
      <c r="C91"/>
    </row>
    <row r="92" spans="1:4" x14ac:dyDescent="0.3">
      <c r="A92"/>
      <c r="B92"/>
      <c r="C92"/>
    </row>
    <row r="93" spans="1:4" x14ac:dyDescent="0.3">
      <c r="A93"/>
      <c r="B93"/>
      <c r="C93"/>
    </row>
    <row r="94" spans="1:4" x14ac:dyDescent="0.3">
      <c r="A94"/>
      <c r="B94"/>
      <c r="C94"/>
    </row>
    <row r="95" spans="1:4" x14ac:dyDescent="0.3">
      <c r="A95"/>
      <c r="B95"/>
      <c r="C95"/>
    </row>
    <row r="96" spans="1:4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BBA-880B-4C89-AD5D-838ABEE944E4}">
  <dimension ref="A1:P496"/>
  <sheetViews>
    <sheetView topLeftCell="B1" zoomScale="106" zoomScaleNormal="100" workbookViewId="0">
      <selection activeCell="I16" sqref="I16:J16"/>
    </sheetView>
  </sheetViews>
  <sheetFormatPr baseColWidth="10" defaultColWidth="11.33203125" defaultRowHeight="14.4" x14ac:dyDescent="0.3"/>
  <cols>
    <col min="1" max="1" width="22.109375" style="58" bestFit="1" customWidth="1"/>
    <col min="2" max="2" width="15.5546875" style="58" customWidth="1"/>
    <col min="3" max="3" width="23.77734375" style="108" customWidth="1"/>
    <col min="4" max="4" width="27.6640625" style="15" customWidth="1"/>
    <col min="6" max="6" width="18.109375" customWidth="1"/>
    <col min="7" max="11" width="10.109375" bestFit="1" customWidth="1"/>
    <col min="13" max="13" width="18.109375" customWidth="1"/>
    <col min="14" max="14" width="21.109375" bestFit="1" customWidth="1"/>
    <col min="15" max="16" width="46.109375" bestFit="1" customWidth="1"/>
    <col min="17" max="17" width="12.109375" bestFit="1" customWidth="1"/>
    <col min="18" max="18" width="18.77734375" bestFit="1" customWidth="1"/>
    <col min="19" max="19" width="25" bestFit="1" customWidth="1"/>
    <col min="20" max="20" width="18.109375" bestFit="1" customWidth="1"/>
  </cols>
  <sheetData>
    <row r="1" spans="1:16" s="107" customFormat="1" ht="25.8" thickBot="1" x14ac:dyDescent="0.35">
      <c r="A1" s="113" t="s">
        <v>616</v>
      </c>
      <c r="B1" s="113" t="s">
        <v>618</v>
      </c>
      <c r="C1" s="113" t="s">
        <v>803</v>
      </c>
      <c r="D1" s="113" t="s">
        <v>804</v>
      </c>
      <c r="P1" s="114"/>
    </row>
    <row r="2" spans="1:16" ht="25.8" thickBot="1" x14ac:dyDescent="0.35">
      <c r="A2" s="115" t="s">
        <v>646</v>
      </c>
      <c r="B2" s="115" t="s">
        <v>648</v>
      </c>
      <c r="C2" s="117" cm="1">
        <f t="array" aca="1" ref="C2" ca="1">_xlfn.XLOOKUP(Tableau167[[#This Row],[Bloc de critères]] &amp; Tableau167[[#This Row],[Rubrique]], INDIRECT($O$3&amp;"!A:A") &amp; INDIRECT($O$3&amp;"!B:B"), INDIRECT($O$3&amp;"!F:F"))</f>
        <v>0</v>
      </c>
      <c r="D2" s="116" cm="1">
        <f t="array" aca="1" ref="D2" ca="1">_xlfn.XLOOKUP(Tableau167[[#This Row],[Bloc de critères]] &amp; Tableau167[[#This Row],[Rubrique]], INDIRECT($O$3&amp;"!A:A") &amp; INDIRECT($O$3&amp;"!B:B"), INDIRECT($O$3&amp;"!J:J"), "Non trouvé")</f>
        <v>0</v>
      </c>
      <c r="G2" s="79" t="s">
        <v>805</v>
      </c>
      <c r="H2" s="79" t="s">
        <v>806</v>
      </c>
      <c r="I2" s="79" t="s">
        <v>807</v>
      </c>
      <c r="J2" s="79" t="s">
        <v>808</v>
      </c>
      <c r="K2" s="79" t="s">
        <v>809</v>
      </c>
      <c r="P2" s="15"/>
    </row>
    <row r="3" spans="1:16" ht="25.8" thickBot="1" x14ac:dyDescent="0.35">
      <c r="A3" s="115" t="s">
        <v>646</v>
      </c>
      <c r="B3" s="115" t="s">
        <v>652</v>
      </c>
      <c r="C3" s="117" cm="1">
        <f t="array" aca="1" ref="C3" ca="1">_xlfn.XLOOKUP(Tableau167[[#This Row],[Bloc de critères]] &amp; Tableau167[[#This Row],[Rubrique]], INDIRECT($O$3&amp;"!A:A") &amp; INDIRECT($O$3&amp;"!B:B"), INDIRECT($O$3&amp;"!F:F"))</f>
        <v>0</v>
      </c>
      <c r="D3" s="116" cm="1">
        <f t="array" aca="1" ref="D3" ca="1">_xlfn.XLOOKUP(Tableau167[[#This Row],[Bloc de critères]] &amp; Tableau167[[#This Row],[Rubrique]], INDIRECT($O$3&amp;"!A:A") &amp; INDIRECT($O$3&amp;"!B:B"), INDIRECT($O$3&amp;"!J:J"), "Non trouvé")</f>
        <v>0</v>
      </c>
      <c r="G3" s="79" t="s">
        <v>37</v>
      </c>
      <c r="H3" s="79" t="s">
        <v>38</v>
      </c>
      <c r="I3" s="79" t="s">
        <v>39</v>
      </c>
      <c r="J3" s="79" t="s">
        <v>40</v>
      </c>
      <c r="K3" s="79" t="s">
        <v>41</v>
      </c>
      <c r="M3" s="79" t="s">
        <v>810</v>
      </c>
      <c r="N3" s="80" t="str">
        <f>I3</f>
        <v>Hôtel 3 étoiles</v>
      </c>
      <c r="O3" t="str">
        <f>INDEX(G2:K2,MATCH(N3,G3:K3,0))</f>
        <v>grille_ht3</v>
      </c>
      <c r="P3" s="15"/>
    </row>
    <row r="4" spans="1:16" ht="38.4" thickBot="1" x14ac:dyDescent="0.35">
      <c r="A4" s="115" t="s">
        <v>653</v>
      </c>
      <c r="B4" s="115" t="s">
        <v>654</v>
      </c>
      <c r="C4" s="117" t="str" cm="1">
        <f t="array" aca="1" ref="C4" ca="1">_xlfn.XLOOKUP(Tableau167[[#This Row],[Bloc de critères]] &amp; Tableau167[[#This Row],[Rubrique]], INDIRECT($O$3&amp;"!A:A") &amp; INDIRECT($O$3&amp;"!B:B"), INDIRECT($O$3&amp;"!F:F"))</f>
        <v>Non appliqué</v>
      </c>
      <c r="D4" s="116" cm="1">
        <f t="array" aca="1" ref="D4" ca="1">_xlfn.XLOOKUP(Tableau167[[#This Row],[Bloc de critères]] &amp; Tableau167[[#This Row],[Rubrique]], INDIRECT($O$3&amp;"!A:A") &amp; INDIRECT($O$3&amp;"!B:B"), INDIRECT($O$3&amp;"!J:J"), "Non trouvé")</f>
        <v>0</v>
      </c>
      <c r="G4">
        <v>5</v>
      </c>
      <c r="H4">
        <v>4</v>
      </c>
      <c r="I4">
        <v>3</v>
      </c>
      <c r="J4">
        <v>2</v>
      </c>
      <c r="K4">
        <v>1</v>
      </c>
      <c r="M4" s="79" t="s">
        <v>811</v>
      </c>
      <c r="N4" s="80">
        <f ca="1">_xlfn.XLOOKUP(N3,G3:K3,G5:K5)</f>
        <v>0</v>
      </c>
      <c r="P4" s="15"/>
    </row>
    <row r="5" spans="1:16" ht="38.4" thickBot="1" x14ac:dyDescent="0.35">
      <c r="A5" s="115" t="s">
        <v>653</v>
      </c>
      <c r="B5" s="115" t="s">
        <v>657</v>
      </c>
      <c r="C5" s="117" t="str" cm="1">
        <f t="array" aca="1" ref="C5" ca="1">_xlfn.XLOOKUP(Tableau167[[#This Row],[Bloc de critères]] &amp; Tableau167[[#This Row],[Rubrique]], INDIRECT($O$3&amp;"!A:A") &amp; INDIRECT($O$3&amp;"!B:B"), INDIRECT($O$3&amp;"!F:F"))</f>
        <v>Non appliqué</v>
      </c>
      <c r="D5" s="116" t="str" cm="1">
        <f t="array" aca="1" ref="D5" ca="1">_xlfn.XLOOKUP(Tableau167[[#This Row],[Bloc de critères]] &amp; Tableau167[[#This Row],[Rubrique]], INDIRECT($O$3&amp;"!A:A") &amp; INDIRECT($O$3&amp;"!B:B"), INDIRECT($O$3&amp;"!J:J"), "Non trouvé")</f>
        <v>Non appliqué</v>
      </c>
      <c r="F5" s="79" t="s">
        <v>812</v>
      </c>
      <c r="G5" s="81">
        <f ca="1">SUM(Grille_HT5!U2:U91)</f>
        <v>0</v>
      </c>
      <c r="H5" s="81">
        <f ca="1">SUM(Grille_HT4!U2:U91)</f>
        <v>0</v>
      </c>
      <c r="I5" s="81">
        <f ca="1">SUM(Grille_HT3!U2:U91)</f>
        <v>0</v>
      </c>
      <c r="J5" s="81">
        <f ca="1">SUM(Grille_HT2!U2:U91)</f>
        <v>0</v>
      </c>
      <c r="K5" s="81">
        <f ca="1">SUM(Grille_HT1!U2:U91)</f>
        <v>0</v>
      </c>
      <c r="M5" s="79" t="s">
        <v>813</v>
      </c>
      <c r="N5" s="80">
        <f ca="1">_xlfn.XLOOKUP(N3,G3:K3,G6:K6)</f>
        <v>0</v>
      </c>
    </row>
    <row r="6" spans="1:16" ht="38.4" thickBot="1" x14ac:dyDescent="0.35">
      <c r="A6" s="115" t="s">
        <v>653</v>
      </c>
      <c r="B6" s="115" t="s">
        <v>658</v>
      </c>
      <c r="C6" s="117" cm="1">
        <f t="array" aca="1" ref="C6" ca="1">_xlfn.XLOOKUP(Tableau167[[#This Row],[Bloc de critères]] &amp; Tableau167[[#This Row],[Rubrique]], INDIRECT($O$3&amp;"!A:A") &amp; INDIRECT($O$3&amp;"!B:B"), INDIRECT($O$3&amp;"!F:F"))</f>
        <v>0</v>
      </c>
      <c r="D6" s="116" t="str" cm="1">
        <f t="array" aca="1" ref="D6" ca="1">_xlfn.XLOOKUP(Tableau167[[#This Row],[Bloc de critères]] &amp; Tableau167[[#This Row],[Rubrique]], INDIRECT($O$3&amp;"!A:A") &amp; INDIRECT($O$3&amp;"!B:B"), INDIRECT($O$3&amp;"!J:J"), "Non trouvé")</f>
        <v>Non appliqué</v>
      </c>
      <c r="F6" s="79" t="s">
        <v>814</v>
      </c>
      <c r="G6" s="81">
        <f ca="1">SUM(Grille_HT5!X2:X91)</f>
        <v>0</v>
      </c>
      <c r="H6" s="81">
        <f ca="1">SUM(Grille_HT4!X2:X91)</f>
        <v>0</v>
      </c>
      <c r="I6" s="81">
        <f ca="1">SUM(Grille_HT3!X2:X91)</f>
        <v>0</v>
      </c>
      <c r="J6" s="81">
        <f ca="1">SUM(Grille_HT2!X2:X91)</f>
        <v>0</v>
      </c>
      <c r="K6" s="81">
        <f ca="1">SUM(Grille_HT1!X2:X91)</f>
        <v>0</v>
      </c>
      <c r="O6" s="15"/>
    </row>
    <row r="7" spans="1:16" ht="15" thickBot="1" x14ac:dyDescent="0.35">
      <c r="A7" s="115" t="s">
        <v>659</v>
      </c>
      <c r="B7" s="115" t="s">
        <v>661</v>
      </c>
      <c r="C7" s="117" cm="1">
        <f t="array" aca="1" ref="C7" ca="1">_xlfn.XLOOKUP(Tableau167[[#This Row],[Bloc de critères]] &amp; Tableau167[[#This Row],[Rubrique]], INDIRECT($O$3&amp;"!A:A") &amp; INDIRECT($O$3&amp;"!B:B"), INDIRECT($O$3&amp;"!F:F"))</f>
        <v>0</v>
      </c>
      <c r="D7" s="116" cm="1">
        <f t="array" aca="1" ref="D7" ca="1">_xlfn.XLOOKUP(Tableau167[[#This Row],[Bloc de critères]] &amp; Tableau167[[#This Row],[Rubrique]], INDIRECT($O$3&amp;"!A:A") &amp; INDIRECT($O$3&amp;"!B:B"), INDIRECT($O$3&amp;"!J:J"), "Non trouvé")</f>
        <v>0</v>
      </c>
      <c r="F7" s="79" t="s">
        <v>815</v>
      </c>
      <c r="G7" s="81">
        <f ca="1">AVERAGE(G5:G6)</f>
        <v>0</v>
      </c>
      <c r="H7" s="81">
        <f t="shared" ref="H7:K7" ca="1" si="0">AVERAGE(H5:H6)</f>
        <v>0</v>
      </c>
      <c r="I7" s="81">
        <f t="shared" ca="1" si="0"/>
        <v>0</v>
      </c>
      <c r="J7" s="81">
        <f t="shared" ca="1" si="0"/>
        <v>0</v>
      </c>
      <c r="K7" s="81">
        <f t="shared" ca="1" si="0"/>
        <v>0</v>
      </c>
    </row>
    <row r="8" spans="1:16" ht="22.8" x14ac:dyDescent="0.3">
      <c r="A8" s="115" t="s">
        <v>659</v>
      </c>
      <c r="B8" s="115" t="s">
        <v>662</v>
      </c>
      <c r="C8" s="117" cm="1">
        <f t="array" aca="1" ref="C8" ca="1">_xlfn.XLOOKUP(Tableau167[[#This Row],[Bloc de critères]] &amp; Tableau167[[#This Row],[Rubrique]], INDIRECT($O$3&amp;"!A:A") &amp; INDIRECT($O$3&amp;"!B:B"), INDIRECT($O$3&amp;"!F:F"))</f>
        <v>0</v>
      </c>
      <c r="D8" s="116" cm="1">
        <f t="array" aca="1" ref="D8" ca="1">_xlfn.XLOOKUP(Tableau167[[#This Row],[Bloc de critères]] &amp; Tableau167[[#This Row],[Rubrique]], INDIRECT($O$3&amp;"!A:A") &amp; INDIRECT($O$3&amp;"!B:B"), INDIRECT($O$3&amp;"!J:J"), "Non trouvé")</f>
        <v>0</v>
      </c>
    </row>
    <row r="9" spans="1:16" x14ac:dyDescent="0.3">
      <c r="A9" s="115" t="s">
        <v>659</v>
      </c>
      <c r="B9" s="115" t="s">
        <v>664</v>
      </c>
      <c r="C9" s="117" cm="1">
        <f t="array" aca="1" ref="C9" ca="1">_xlfn.XLOOKUP(Tableau167[[#This Row],[Bloc de critères]] &amp; Tableau167[[#This Row],[Rubrique]], INDIRECT($O$3&amp;"!A:A") &amp; INDIRECT($O$3&amp;"!B:B"), INDIRECT($O$3&amp;"!F:F"))</f>
        <v>0</v>
      </c>
      <c r="D9" s="116" cm="1">
        <f t="array" aca="1" ref="D9" ca="1">_xlfn.XLOOKUP(Tableau167[[#This Row],[Bloc de critères]] &amp; Tableau167[[#This Row],[Rubrique]], INDIRECT($O$3&amp;"!A:A") &amp; INDIRECT($O$3&amp;"!B:B"), INDIRECT($O$3&amp;"!J:J"), "Non trouvé")</f>
        <v>0</v>
      </c>
    </row>
    <row r="10" spans="1:16" x14ac:dyDescent="0.3">
      <c r="A10" s="115" t="s">
        <v>659</v>
      </c>
      <c r="B10" s="115" t="s">
        <v>667</v>
      </c>
      <c r="C10" s="117" t="str" cm="1">
        <f t="array" aca="1" ref="C10" ca="1">_xlfn.XLOOKUP(Tableau167[[#This Row],[Bloc de critères]] &amp; Tableau167[[#This Row],[Rubrique]], INDIRECT($O$3&amp;"!A:A") &amp; INDIRECT($O$3&amp;"!B:B"), INDIRECT($O$3&amp;"!F:F"))</f>
        <v>Non appliqué</v>
      </c>
      <c r="D10" s="116" t="str" cm="1">
        <f t="array" aca="1" ref="D10" ca="1">_xlfn.XLOOKUP(Tableau167[[#This Row],[Bloc de critères]] &amp; Tableau167[[#This Row],[Rubrique]], INDIRECT($O$3&amp;"!A:A") &amp; INDIRECT($O$3&amp;"!B:B"), INDIRECT($O$3&amp;"!J:J"), "Non trouvé")</f>
        <v>Non appliqué</v>
      </c>
    </row>
    <row r="11" spans="1:16" x14ac:dyDescent="0.3">
      <c r="A11" s="115" t="s">
        <v>659</v>
      </c>
      <c r="B11" s="115" t="s">
        <v>668</v>
      </c>
      <c r="C11" s="117" cm="1">
        <f t="array" aca="1" ref="C11" ca="1">_xlfn.XLOOKUP(Tableau167[[#This Row],[Bloc de critères]] &amp; Tableau167[[#This Row],[Rubrique]], INDIRECT($O$3&amp;"!A:A") &amp; INDIRECT($O$3&amp;"!B:B"), INDIRECT($O$3&amp;"!F:F"))</f>
        <v>0</v>
      </c>
      <c r="D11" s="116" t="str" cm="1">
        <f t="array" aca="1" ref="D11" ca="1">_xlfn.XLOOKUP(Tableau167[[#This Row],[Bloc de critères]] &amp; Tableau167[[#This Row],[Rubrique]], INDIRECT($O$3&amp;"!A:A") &amp; INDIRECT($O$3&amp;"!B:B"), INDIRECT($O$3&amp;"!J:J"), "Non trouvé")</f>
        <v>Non appliqué</v>
      </c>
    </row>
    <row r="12" spans="1:16" x14ac:dyDescent="0.3">
      <c r="A12" s="115" t="s">
        <v>669</v>
      </c>
      <c r="B12" s="115" t="s">
        <v>671</v>
      </c>
      <c r="C12" s="117" cm="1">
        <f t="array" aca="1" ref="C12" ca="1">_xlfn.XLOOKUP(Tableau167[[#This Row],[Bloc de critères]] &amp; Tableau167[[#This Row],[Rubrique]], INDIRECT($O$3&amp;"!A:A") &amp; INDIRECT($O$3&amp;"!B:B"), INDIRECT($O$3&amp;"!F:F"))</f>
        <v>0</v>
      </c>
      <c r="D12" s="116" cm="1">
        <f t="array" aca="1" ref="D12" ca="1">_xlfn.XLOOKUP(Tableau167[[#This Row],[Bloc de critères]] &amp; Tableau167[[#This Row],[Rubrique]], INDIRECT($O$3&amp;"!A:A") &amp; INDIRECT($O$3&amp;"!B:B"), INDIRECT($O$3&amp;"!J:J"), "Non trouvé")</f>
        <v>0</v>
      </c>
    </row>
    <row r="13" spans="1:16" ht="22.8" x14ac:dyDescent="0.3">
      <c r="A13" s="115" t="s">
        <v>669</v>
      </c>
      <c r="B13" s="115" t="s">
        <v>673</v>
      </c>
      <c r="C13" s="117" cm="1">
        <f t="array" aca="1" ref="C13" ca="1">_xlfn.XLOOKUP(Tableau167[[#This Row],[Bloc de critères]] &amp; Tableau167[[#This Row],[Rubrique]], INDIRECT($O$3&amp;"!A:A") &amp; INDIRECT($O$3&amp;"!B:B"), INDIRECT($O$3&amp;"!F:F"))</f>
        <v>0</v>
      </c>
      <c r="D13" s="116" cm="1">
        <f t="array" aca="1" ref="D13" ca="1">_xlfn.XLOOKUP(Tableau167[[#This Row],[Bloc de critères]] &amp; Tableau167[[#This Row],[Rubrique]], INDIRECT($O$3&amp;"!A:A") &amp; INDIRECT($O$3&amp;"!B:B"), INDIRECT($O$3&amp;"!J:J"), "Non trouvé")</f>
        <v>0</v>
      </c>
    </row>
    <row r="14" spans="1:16" x14ac:dyDescent="0.3">
      <c r="A14" s="115" t="s">
        <v>669</v>
      </c>
      <c r="B14" s="115" t="s">
        <v>675</v>
      </c>
      <c r="C14" s="117" cm="1">
        <f t="array" aca="1" ref="C14" ca="1">_xlfn.XLOOKUP(Tableau167[[#This Row],[Bloc de critères]] &amp; Tableau167[[#This Row],[Rubrique]], INDIRECT($O$3&amp;"!A:A") &amp; INDIRECT($O$3&amp;"!B:B"), INDIRECT($O$3&amp;"!F:F"))</f>
        <v>0</v>
      </c>
      <c r="D14" s="116" cm="1">
        <f t="array" aca="1" ref="D14" ca="1">_xlfn.XLOOKUP(Tableau167[[#This Row],[Bloc de critères]] &amp; Tableau167[[#This Row],[Rubrique]], INDIRECT($O$3&amp;"!A:A") &amp; INDIRECT($O$3&amp;"!B:B"), INDIRECT($O$3&amp;"!J:J"), "Non trouvé")</f>
        <v>0</v>
      </c>
    </row>
    <row r="15" spans="1:16" ht="22.8" x14ac:dyDescent="0.3">
      <c r="A15" s="115" t="s">
        <v>676</v>
      </c>
      <c r="B15" s="115" t="s">
        <v>677</v>
      </c>
      <c r="C15" s="117" cm="1">
        <f t="array" aca="1" ref="C15" ca="1">_xlfn.XLOOKUP(Tableau167[[#This Row],[Bloc de critères]] &amp; Tableau167[[#This Row],[Rubrique]], INDIRECT($O$3&amp;"!A:A") &amp; INDIRECT($O$3&amp;"!B:B"), INDIRECT($O$3&amp;"!F:F"))</f>
        <v>0</v>
      </c>
      <c r="D15" s="116" cm="1">
        <f t="array" aca="1" ref="D15" ca="1">_xlfn.XLOOKUP(Tableau167[[#This Row],[Bloc de critères]] &amp; Tableau167[[#This Row],[Rubrique]], INDIRECT($O$3&amp;"!A:A") &amp; INDIRECT($O$3&amp;"!B:B"), INDIRECT($O$3&amp;"!J:J"), "Non trouvé")</f>
        <v>0</v>
      </c>
    </row>
    <row r="16" spans="1:16" x14ac:dyDescent="0.3">
      <c r="A16" s="115" t="s">
        <v>676</v>
      </c>
      <c r="B16" s="115" t="s">
        <v>678</v>
      </c>
      <c r="C16" s="117" cm="1">
        <f t="array" aca="1" ref="C16" ca="1">_xlfn.XLOOKUP(Tableau167[[#This Row],[Bloc de critères]] &amp; Tableau167[[#This Row],[Rubrique]], INDIRECT($O$3&amp;"!A:A") &amp; INDIRECT($O$3&amp;"!B:B"), INDIRECT($O$3&amp;"!F:F"))</f>
        <v>0</v>
      </c>
      <c r="D16" s="116" cm="1">
        <f t="array" aca="1" ref="D16" ca="1">_xlfn.XLOOKUP(Tableau167[[#This Row],[Bloc de critères]] &amp; Tableau167[[#This Row],[Rubrique]], INDIRECT($O$3&amp;"!A:A") &amp; INDIRECT($O$3&amp;"!B:B"), INDIRECT($O$3&amp;"!J:J"), "Non trouvé")</f>
        <v>0</v>
      </c>
    </row>
    <row r="17" spans="1:4" x14ac:dyDescent="0.3">
      <c r="A17" s="115" t="s">
        <v>680</v>
      </c>
      <c r="B17" s="115" t="s">
        <v>682</v>
      </c>
      <c r="C17" s="117" cm="1">
        <f t="array" aca="1" ref="C17" ca="1">_xlfn.XLOOKUP(Tableau167[[#This Row],[Bloc de critères]] &amp; Tableau167[[#This Row],[Rubrique]], INDIRECT($O$3&amp;"!A:A") &amp; INDIRECT($O$3&amp;"!B:B"), INDIRECT($O$3&amp;"!F:F"))</f>
        <v>0</v>
      </c>
      <c r="D17" s="116" cm="1">
        <f t="array" aca="1" ref="D17" ca="1">_xlfn.XLOOKUP(Tableau167[[#This Row],[Bloc de critères]] &amp; Tableau167[[#This Row],[Rubrique]], INDIRECT($O$3&amp;"!A:A") &amp; INDIRECT($O$3&amp;"!B:B"), INDIRECT($O$3&amp;"!J:J"), "Non trouvé")</f>
        <v>0</v>
      </c>
    </row>
    <row r="18" spans="1:4" ht="22.8" x14ac:dyDescent="0.3">
      <c r="A18" s="115" t="s">
        <v>680</v>
      </c>
      <c r="B18" s="115" t="s">
        <v>685</v>
      </c>
      <c r="C18" s="117" cm="1">
        <f t="array" aca="1" ref="C18" ca="1">_xlfn.XLOOKUP(Tableau167[[#This Row],[Bloc de critères]] &amp; Tableau167[[#This Row],[Rubrique]], INDIRECT($O$3&amp;"!A:A") &amp; INDIRECT($O$3&amp;"!B:B"), INDIRECT($O$3&amp;"!F:F"))</f>
        <v>0</v>
      </c>
      <c r="D18" s="116" t="str" cm="1">
        <f t="array" aca="1" ref="D18" ca="1">_xlfn.XLOOKUP(Tableau167[[#This Row],[Bloc de critères]] &amp; Tableau167[[#This Row],[Rubrique]], INDIRECT($O$3&amp;"!A:A") &amp; INDIRECT($O$3&amp;"!B:B"), INDIRECT($O$3&amp;"!J:J"), "Non trouvé")</f>
        <v>Non appliqué</v>
      </c>
    </row>
    <row r="19" spans="1:4" x14ac:dyDescent="0.3">
      <c r="A19" s="115" t="s">
        <v>686</v>
      </c>
      <c r="B19" s="115" t="s">
        <v>682</v>
      </c>
      <c r="C19" s="117" cm="1">
        <f t="array" aca="1" ref="C19" ca="1">_xlfn.XLOOKUP(Tableau167[[#This Row],[Bloc de critères]] &amp; Tableau167[[#This Row],[Rubrique]], INDIRECT($O$3&amp;"!A:A") &amp; INDIRECT($O$3&amp;"!B:B"), INDIRECT($O$3&amp;"!F:F"))</f>
        <v>0</v>
      </c>
      <c r="D19" s="116" cm="1">
        <f t="array" aca="1" ref="D19" ca="1">_xlfn.XLOOKUP(Tableau167[[#This Row],[Bloc de critères]] &amp; Tableau167[[#This Row],[Rubrique]], INDIRECT($O$3&amp;"!A:A") &amp; INDIRECT($O$3&amp;"!B:B"), INDIRECT($O$3&amp;"!J:J"), "Non trouvé")</f>
        <v>0</v>
      </c>
    </row>
    <row r="20" spans="1:4" ht="22.8" x14ac:dyDescent="0.3">
      <c r="A20" s="115" t="s">
        <v>686</v>
      </c>
      <c r="B20" s="115" t="s">
        <v>685</v>
      </c>
      <c r="C20" s="117" cm="1">
        <f t="array" aca="1" ref="C20" ca="1">_xlfn.XLOOKUP(Tableau167[[#This Row],[Bloc de critères]] &amp; Tableau167[[#This Row],[Rubrique]], INDIRECT($O$3&amp;"!A:A") &amp; INDIRECT($O$3&amp;"!B:B"), INDIRECT($O$3&amp;"!F:F"))</f>
        <v>0</v>
      </c>
      <c r="D20" s="116" cm="1">
        <f t="array" aca="1" ref="D20" ca="1">_xlfn.XLOOKUP(Tableau167[[#This Row],[Bloc de critères]] &amp; Tableau167[[#This Row],[Rubrique]], INDIRECT($O$3&amp;"!A:A") &amp; INDIRECT($O$3&amp;"!B:B"), INDIRECT($O$3&amp;"!J:J"), "Non trouvé")</f>
        <v>0</v>
      </c>
    </row>
    <row r="21" spans="1:4" ht="22.8" x14ac:dyDescent="0.3">
      <c r="A21" s="115" t="s">
        <v>692</v>
      </c>
      <c r="B21" s="115" t="s">
        <v>682</v>
      </c>
      <c r="C21" s="117" t="str" cm="1">
        <f t="array" aca="1" ref="C21" ca="1">_xlfn.XLOOKUP(Tableau167[[#This Row],[Bloc de critères]] &amp; Tableau167[[#This Row],[Rubrique]], INDIRECT($O$3&amp;"!A:A") &amp; INDIRECT($O$3&amp;"!B:B"), INDIRECT($O$3&amp;"!F:F"))</f>
        <v>Non appliqué</v>
      </c>
      <c r="D21" s="116" t="str" cm="1">
        <f t="array" aca="1" ref="D21" ca="1">_xlfn.XLOOKUP(Tableau167[[#This Row],[Bloc de critères]] &amp; Tableau167[[#This Row],[Rubrique]], INDIRECT($O$3&amp;"!A:A") &amp; INDIRECT($O$3&amp;"!B:B"), INDIRECT($O$3&amp;"!J:J"), "Non trouvé")</f>
        <v>Non appliqué</v>
      </c>
    </row>
    <row r="22" spans="1:4" ht="22.8" x14ac:dyDescent="0.3">
      <c r="A22" s="115" t="s">
        <v>692</v>
      </c>
      <c r="B22" s="115" t="s">
        <v>685</v>
      </c>
      <c r="C22" s="117" t="str" cm="1">
        <f t="array" aca="1" ref="C22" ca="1">_xlfn.XLOOKUP(Tableau167[[#This Row],[Bloc de critères]] &amp; Tableau167[[#This Row],[Rubrique]], INDIRECT($O$3&amp;"!A:A") &amp; INDIRECT($O$3&amp;"!B:B"), INDIRECT($O$3&amp;"!F:F"))</f>
        <v>Non appliqué</v>
      </c>
      <c r="D22" s="116" t="str" cm="1">
        <f t="array" aca="1" ref="D22" ca="1">_xlfn.XLOOKUP(Tableau167[[#This Row],[Bloc de critères]] &amp; Tableau167[[#This Row],[Rubrique]], INDIRECT($O$3&amp;"!A:A") &amp; INDIRECT($O$3&amp;"!B:B"), INDIRECT($O$3&amp;"!J:J"), "Non trouvé")</f>
        <v>Non appliqué</v>
      </c>
    </row>
    <row r="23" spans="1:4" x14ac:dyDescent="0.3">
      <c r="A23" s="115" t="s">
        <v>694</v>
      </c>
      <c r="B23" s="115" t="s">
        <v>682</v>
      </c>
      <c r="C23" s="117" cm="1">
        <f t="array" aca="1" ref="C23" ca="1">_xlfn.XLOOKUP(Tableau167[[#This Row],[Bloc de critères]] &amp; Tableau167[[#This Row],[Rubrique]], INDIRECT($O$3&amp;"!A:A") &amp; INDIRECT($O$3&amp;"!B:B"), INDIRECT($O$3&amp;"!F:F"))</f>
        <v>0</v>
      </c>
      <c r="D23" s="116" cm="1">
        <f t="array" aca="1" ref="D23" ca="1">_xlfn.XLOOKUP(Tableau167[[#This Row],[Bloc de critères]] &amp; Tableau167[[#This Row],[Rubrique]], INDIRECT($O$3&amp;"!A:A") &amp; INDIRECT($O$3&amp;"!B:B"), INDIRECT($O$3&amp;"!J:J"), "Non trouvé")</f>
        <v>0</v>
      </c>
    </row>
    <row r="24" spans="1:4" ht="22.8" x14ac:dyDescent="0.3">
      <c r="A24" s="115" t="s">
        <v>694</v>
      </c>
      <c r="B24" s="115" t="s">
        <v>685</v>
      </c>
      <c r="C24" s="117" cm="1">
        <f t="array" aca="1" ref="C24" ca="1">_xlfn.XLOOKUP(Tableau167[[#This Row],[Bloc de critères]] &amp; Tableau167[[#This Row],[Rubrique]], INDIRECT($O$3&amp;"!A:A") &amp; INDIRECT($O$3&amp;"!B:B"), INDIRECT($O$3&amp;"!F:F"))</f>
        <v>0</v>
      </c>
      <c r="D24" s="116" cm="1">
        <f t="array" aca="1" ref="D24" ca="1">_xlfn.XLOOKUP(Tableau167[[#This Row],[Bloc de critères]] &amp; Tableau167[[#This Row],[Rubrique]], INDIRECT($O$3&amp;"!A:A") &amp; INDIRECT($O$3&amp;"!B:B"), INDIRECT($O$3&amp;"!J:J"), "Non trouvé")</f>
        <v>0</v>
      </c>
    </row>
    <row r="25" spans="1:4" ht="34.200000000000003" x14ac:dyDescent="0.3">
      <c r="A25" s="115" t="s">
        <v>699</v>
      </c>
      <c r="B25" s="115" t="s">
        <v>701</v>
      </c>
      <c r="C25" s="117" t="str" cm="1">
        <f t="array" aca="1" ref="C25" ca="1">_xlfn.XLOOKUP(Tableau167[[#This Row],[Bloc de critères]] &amp; Tableau167[[#This Row],[Rubrique]], INDIRECT($O$3&amp;"!A:A") &amp; INDIRECT($O$3&amp;"!B:B"), INDIRECT($O$3&amp;"!F:F"))</f>
        <v>Non appliqué</v>
      </c>
      <c r="D25" s="116" cm="1">
        <f t="array" aca="1" ref="D25" ca="1">_xlfn.XLOOKUP(Tableau167[[#This Row],[Bloc de critères]] &amp; Tableau167[[#This Row],[Rubrique]], INDIRECT($O$3&amp;"!A:A") &amp; INDIRECT($O$3&amp;"!B:B"), INDIRECT($O$3&amp;"!J:J"), "Non trouvé")</f>
        <v>0</v>
      </c>
    </row>
    <row r="26" spans="1:4" ht="34.200000000000003" x14ac:dyDescent="0.3">
      <c r="A26" s="115" t="s">
        <v>699</v>
      </c>
      <c r="B26" s="115" t="s">
        <v>702</v>
      </c>
      <c r="C26" s="117" t="str" cm="1">
        <f t="array" aca="1" ref="C26" ca="1">_xlfn.XLOOKUP(Tableau167[[#This Row],[Bloc de critères]] &amp; Tableau167[[#This Row],[Rubrique]], INDIRECT($O$3&amp;"!A:A") &amp; INDIRECT($O$3&amp;"!B:B"), INDIRECT($O$3&amp;"!F:F"))</f>
        <v>Non appliqué</v>
      </c>
      <c r="D26" s="116" cm="1">
        <f t="array" aca="1" ref="D26" ca="1">_xlfn.XLOOKUP(Tableau167[[#This Row],[Bloc de critères]] &amp; Tableau167[[#This Row],[Rubrique]], INDIRECT($O$3&amp;"!A:A") &amp; INDIRECT($O$3&amp;"!B:B"), INDIRECT($O$3&amp;"!J:J"), "Non trouvé")</f>
        <v>0</v>
      </c>
    </row>
    <row r="27" spans="1:4" ht="34.200000000000003" x14ac:dyDescent="0.3">
      <c r="A27" s="115" t="s">
        <v>699</v>
      </c>
      <c r="B27" s="115" t="s">
        <v>703</v>
      </c>
      <c r="C27" s="117" t="str" cm="1">
        <f t="array" aca="1" ref="C27" ca="1">_xlfn.XLOOKUP(Tableau167[[#This Row],[Bloc de critères]] &amp; Tableau167[[#This Row],[Rubrique]], INDIRECT($O$3&amp;"!A:A") &amp; INDIRECT($O$3&amp;"!B:B"), INDIRECT($O$3&amp;"!F:F"))</f>
        <v>Non appliqué</v>
      </c>
      <c r="D27" s="116" cm="1">
        <f t="array" aca="1" ref="D27" ca="1">_xlfn.XLOOKUP(Tableau167[[#This Row],[Bloc de critères]] &amp; Tableau167[[#This Row],[Rubrique]], INDIRECT($O$3&amp;"!A:A") &amp; INDIRECT($O$3&amp;"!B:B"), INDIRECT($O$3&amp;"!J:J"), "Non trouvé")</f>
        <v>0</v>
      </c>
    </row>
    <row r="28" spans="1:4" ht="22.8" x14ac:dyDescent="0.3">
      <c r="A28" s="115" t="s">
        <v>704</v>
      </c>
      <c r="B28" s="115" t="s">
        <v>706</v>
      </c>
      <c r="C28" s="117" t="str" cm="1">
        <f t="array" aca="1" ref="C28" ca="1">_xlfn.XLOOKUP(Tableau167[[#This Row],[Bloc de critères]] &amp; Tableau167[[#This Row],[Rubrique]], INDIRECT($O$3&amp;"!A:A") &amp; INDIRECT($O$3&amp;"!B:B"), INDIRECT($O$3&amp;"!F:F"))</f>
        <v>Non appliqué</v>
      </c>
      <c r="D28" s="116" t="str" cm="1">
        <f t="array" aca="1" ref="D28" ca="1">_xlfn.XLOOKUP(Tableau167[[#This Row],[Bloc de critères]] &amp; Tableau167[[#This Row],[Rubrique]], INDIRECT($O$3&amp;"!A:A") &amp; INDIRECT($O$3&amp;"!B:B"), INDIRECT($O$3&amp;"!J:J"), "Non trouvé")</f>
        <v>Non appliqué</v>
      </c>
    </row>
    <row r="29" spans="1:4" x14ac:dyDescent="0.3">
      <c r="A29" s="115" t="s">
        <v>704</v>
      </c>
      <c r="B29" s="115" t="s">
        <v>707</v>
      </c>
      <c r="C29" s="117" t="str" cm="1">
        <f t="array" aca="1" ref="C29" ca="1">_xlfn.XLOOKUP(Tableau167[[#This Row],[Bloc de critères]] &amp; Tableau167[[#This Row],[Rubrique]], INDIRECT($O$3&amp;"!A:A") &amp; INDIRECT($O$3&amp;"!B:B"), INDIRECT($O$3&amp;"!F:F"))</f>
        <v>Non appliqué</v>
      </c>
      <c r="D29" s="116" t="str" cm="1">
        <f t="array" aca="1" ref="D29" ca="1">_xlfn.XLOOKUP(Tableau167[[#This Row],[Bloc de critères]] &amp; Tableau167[[#This Row],[Rubrique]], INDIRECT($O$3&amp;"!A:A") &amp; INDIRECT($O$3&amp;"!B:B"), INDIRECT($O$3&amp;"!J:J"), "Non trouvé")</f>
        <v>Non appliqué</v>
      </c>
    </row>
    <row r="30" spans="1:4" x14ac:dyDescent="0.3">
      <c r="A30" s="115" t="s">
        <v>704</v>
      </c>
      <c r="B30" s="115" t="s">
        <v>709</v>
      </c>
      <c r="C30" s="117" t="str" cm="1">
        <f t="array" aca="1" ref="C30" ca="1">_xlfn.XLOOKUP(Tableau167[[#This Row],[Bloc de critères]] &amp; Tableau167[[#This Row],[Rubrique]], INDIRECT($O$3&amp;"!A:A") &amp; INDIRECT($O$3&amp;"!B:B"), INDIRECT($O$3&amp;"!F:F"))</f>
        <v>Non appliqué</v>
      </c>
      <c r="D30" s="116" t="str" cm="1">
        <f t="array" aca="1" ref="D30" ca="1">_xlfn.XLOOKUP(Tableau167[[#This Row],[Bloc de critères]] &amp; Tableau167[[#This Row],[Rubrique]], INDIRECT($O$3&amp;"!A:A") &amp; INDIRECT($O$3&amp;"!B:B"), INDIRECT($O$3&amp;"!J:J"), "Non trouvé")</f>
        <v>Non appliqué</v>
      </c>
    </row>
    <row r="31" spans="1:4" x14ac:dyDescent="0.3">
      <c r="A31" s="115" t="s">
        <v>704</v>
      </c>
      <c r="B31" s="115" t="s">
        <v>710</v>
      </c>
      <c r="C31" s="117" t="str" cm="1">
        <f t="array" aca="1" ref="C31" ca="1">_xlfn.XLOOKUP(Tableau167[[#This Row],[Bloc de critères]] &amp; Tableau167[[#This Row],[Rubrique]], INDIRECT($O$3&amp;"!A:A") &amp; INDIRECT($O$3&amp;"!B:B"), INDIRECT($O$3&amp;"!F:F"))</f>
        <v>Non appliqué</v>
      </c>
      <c r="D31" s="116" t="str" cm="1">
        <f t="array" aca="1" ref="D31" ca="1">_xlfn.XLOOKUP(Tableau167[[#This Row],[Bloc de critères]] &amp; Tableau167[[#This Row],[Rubrique]], INDIRECT($O$3&amp;"!A:A") &amp; INDIRECT($O$3&amp;"!B:B"), INDIRECT($O$3&amp;"!J:J"), "Non trouvé")</f>
        <v>Non appliqué</v>
      </c>
    </row>
    <row r="32" spans="1:4" x14ac:dyDescent="0.3">
      <c r="A32" s="115" t="s">
        <v>704</v>
      </c>
      <c r="B32" s="115" t="s">
        <v>712</v>
      </c>
      <c r="C32" s="117" t="str" cm="1">
        <f t="array" aca="1" ref="C32" ca="1">_xlfn.XLOOKUP(Tableau167[[#This Row],[Bloc de critères]] &amp; Tableau167[[#This Row],[Rubrique]], INDIRECT($O$3&amp;"!A:A") &amp; INDIRECT($O$3&amp;"!B:B"), INDIRECT($O$3&amp;"!F:F"))</f>
        <v>Non appliqué</v>
      </c>
      <c r="D32" s="116" t="str" cm="1">
        <f t="array" aca="1" ref="D32" ca="1">_xlfn.XLOOKUP(Tableau167[[#This Row],[Bloc de critères]] &amp; Tableau167[[#This Row],[Rubrique]], INDIRECT($O$3&amp;"!A:A") &amp; INDIRECT($O$3&amp;"!B:B"), INDIRECT($O$3&amp;"!J:J"), "Non trouvé")</f>
        <v>Non appliqué</v>
      </c>
    </row>
    <row r="33" spans="1:4" ht="22.8" x14ac:dyDescent="0.3">
      <c r="A33" s="115" t="s">
        <v>704</v>
      </c>
      <c r="B33" s="115" t="s">
        <v>715</v>
      </c>
      <c r="C33" s="117" t="str" cm="1">
        <f t="array" aca="1" ref="C33" ca="1">_xlfn.XLOOKUP(Tableau167[[#This Row],[Bloc de critères]] &amp; Tableau167[[#This Row],[Rubrique]], INDIRECT($O$3&amp;"!A:A") &amp; INDIRECT($O$3&amp;"!B:B"), INDIRECT($O$3&amp;"!F:F"))</f>
        <v>Non appliqué</v>
      </c>
      <c r="D33" s="116" t="str" cm="1">
        <f t="array" aca="1" ref="D33" ca="1">_xlfn.XLOOKUP(Tableau167[[#This Row],[Bloc de critères]] &amp; Tableau167[[#This Row],[Rubrique]], INDIRECT($O$3&amp;"!A:A") &amp; INDIRECT($O$3&amp;"!B:B"), INDIRECT($O$3&amp;"!J:J"), "Non trouvé")</f>
        <v>Non appliqué</v>
      </c>
    </row>
    <row r="34" spans="1:4" x14ac:dyDescent="0.3">
      <c r="A34" s="115" t="s">
        <v>704</v>
      </c>
      <c r="B34" s="115" t="s">
        <v>717</v>
      </c>
      <c r="C34" s="117" t="str" cm="1">
        <f t="array" aca="1" ref="C34" ca="1">_xlfn.XLOOKUP(Tableau167[[#This Row],[Bloc de critères]] &amp; Tableau167[[#This Row],[Rubrique]], INDIRECT($O$3&amp;"!A:A") &amp; INDIRECT($O$3&amp;"!B:B"), INDIRECT($O$3&amp;"!F:F"))</f>
        <v>Non appliqué</v>
      </c>
      <c r="D34" s="116" cm="1">
        <f t="array" aca="1" ref="D34" ca="1">_xlfn.XLOOKUP(Tableau167[[#This Row],[Bloc de critères]] &amp; Tableau167[[#This Row],[Rubrique]], INDIRECT($O$3&amp;"!A:A") &amp; INDIRECT($O$3&amp;"!B:B"), INDIRECT($O$3&amp;"!J:J"), "Non trouvé")</f>
        <v>0</v>
      </c>
    </row>
    <row r="35" spans="1:4" ht="22.8" x14ac:dyDescent="0.3">
      <c r="A35" s="115" t="s">
        <v>704</v>
      </c>
      <c r="B35" s="115" t="s">
        <v>718</v>
      </c>
      <c r="C35" s="117" t="str" cm="1">
        <f t="array" aca="1" ref="C35" ca="1">_xlfn.XLOOKUP(Tableau167[[#This Row],[Bloc de critères]] &amp; Tableau167[[#This Row],[Rubrique]], INDIRECT($O$3&amp;"!A:A") &amp; INDIRECT($O$3&amp;"!B:B"), INDIRECT($O$3&amp;"!F:F"))</f>
        <v>Non appliqué</v>
      </c>
      <c r="D35" s="116" cm="1">
        <f t="array" aca="1" ref="D35" ca="1">_xlfn.XLOOKUP(Tableau167[[#This Row],[Bloc de critères]] &amp; Tableau167[[#This Row],[Rubrique]], INDIRECT($O$3&amp;"!A:A") &amp; INDIRECT($O$3&amp;"!B:B"), INDIRECT($O$3&amp;"!J:J"), "Non trouvé")</f>
        <v>0</v>
      </c>
    </row>
    <row r="36" spans="1:4" x14ac:dyDescent="0.3">
      <c r="A36" s="115" t="s">
        <v>21</v>
      </c>
      <c r="B36" s="115" t="s">
        <v>682</v>
      </c>
      <c r="C36" s="117" t="str" cm="1">
        <f t="array" aca="1" ref="C36" ca="1">_xlfn.XLOOKUP(Tableau167[[#This Row],[Bloc de critères]] &amp; Tableau167[[#This Row],[Rubrique]], INDIRECT($O$3&amp;"!A:A") &amp; INDIRECT($O$3&amp;"!B:B"), INDIRECT($O$3&amp;"!F:F"))</f>
        <v>Non appliqué</v>
      </c>
      <c r="D36" s="116" cm="1">
        <f t="array" aca="1" ref="D36" ca="1">_xlfn.XLOOKUP(Tableau167[[#This Row],[Bloc de critères]] &amp; Tableau167[[#This Row],[Rubrique]], INDIRECT($O$3&amp;"!A:A") &amp; INDIRECT($O$3&amp;"!B:B"), INDIRECT($O$3&amp;"!J:J"), "Non trouvé")</f>
        <v>0</v>
      </c>
    </row>
    <row r="37" spans="1:4" ht="22.8" x14ac:dyDescent="0.3">
      <c r="A37" s="115" t="s">
        <v>21</v>
      </c>
      <c r="B37" s="115" t="s">
        <v>720</v>
      </c>
      <c r="C37" s="117" t="str" cm="1">
        <f t="array" aca="1" ref="C37" ca="1">_xlfn.XLOOKUP(Tableau167[[#This Row],[Bloc de critères]] &amp; Tableau167[[#This Row],[Rubrique]], INDIRECT($O$3&amp;"!A:A") &amp; INDIRECT($O$3&amp;"!B:B"), INDIRECT($O$3&amp;"!F:F"))</f>
        <v>Non appliqué</v>
      </c>
      <c r="D37" s="116" cm="1">
        <f t="array" aca="1" ref="D37" ca="1">_xlfn.XLOOKUP(Tableau167[[#This Row],[Bloc de critères]] &amp; Tableau167[[#This Row],[Rubrique]], INDIRECT($O$3&amp;"!A:A") &amp; INDIRECT($O$3&amp;"!B:B"), INDIRECT($O$3&amp;"!J:J"), "Non trouvé")</f>
        <v>0</v>
      </c>
    </row>
    <row r="38" spans="1:4" ht="22.8" x14ac:dyDescent="0.3">
      <c r="A38" s="115" t="s">
        <v>21</v>
      </c>
      <c r="B38" s="115" t="s">
        <v>722</v>
      </c>
      <c r="C38" s="117" t="str" cm="1">
        <f t="array" aca="1" ref="C38" ca="1">_xlfn.XLOOKUP(Tableau167[[#This Row],[Bloc de critères]] &amp; Tableau167[[#This Row],[Rubrique]], INDIRECT($O$3&amp;"!A:A") &amp; INDIRECT($O$3&amp;"!B:B"), INDIRECT($O$3&amp;"!F:F"))</f>
        <v>Non appliqué</v>
      </c>
      <c r="D38" s="116" cm="1">
        <f t="array" aca="1" ref="D38" ca="1">_xlfn.XLOOKUP(Tableau167[[#This Row],[Bloc de critères]] &amp; Tableau167[[#This Row],[Rubrique]], INDIRECT($O$3&amp;"!A:A") &amp; INDIRECT($O$3&amp;"!B:B"), INDIRECT($O$3&amp;"!J:J"), "Non trouvé")</f>
        <v>0</v>
      </c>
    </row>
    <row r="39" spans="1:4" x14ac:dyDescent="0.3">
      <c r="A39" s="115" t="s">
        <v>21</v>
      </c>
      <c r="B39" s="115" t="s">
        <v>724</v>
      </c>
      <c r="C39" s="117" t="str" cm="1">
        <f t="array" aca="1" ref="C39" ca="1">_xlfn.XLOOKUP(Tableau167[[#This Row],[Bloc de critères]] &amp; Tableau167[[#This Row],[Rubrique]], INDIRECT($O$3&amp;"!A:A") &amp; INDIRECT($O$3&amp;"!B:B"), INDIRECT($O$3&amp;"!F:F"))</f>
        <v>Non appliqué</v>
      </c>
      <c r="D39" s="116" t="str" cm="1">
        <f t="array" aca="1" ref="D39" ca="1">_xlfn.XLOOKUP(Tableau167[[#This Row],[Bloc de critères]] &amp; Tableau167[[#This Row],[Rubrique]], INDIRECT($O$3&amp;"!A:A") &amp; INDIRECT($O$3&amp;"!B:B"), INDIRECT($O$3&amp;"!J:J"), "Non trouvé")</f>
        <v>Non appliqué</v>
      </c>
    </row>
    <row r="40" spans="1:4" ht="22.8" x14ac:dyDescent="0.3">
      <c r="A40" s="115" t="s">
        <v>21</v>
      </c>
      <c r="B40" s="115" t="s">
        <v>725</v>
      </c>
      <c r="C40" s="117" t="str" cm="1">
        <f t="array" aca="1" ref="C40" ca="1">_xlfn.XLOOKUP(Tableau167[[#This Row],[Bloc de critères]] &amp; Tableau167[[#This Row],[Rubrique]], INDIRECT($O$3&amp;"!A:A") &amp; INDIRECT($O$3&amp;"!B:B"), INDIRECT($O$3&amp;"!F:F"))</f>
        <v>Non appliqué</v>
      </c>
      <c r="D40" s="116" cm="1">
        <f t="array" aca="1" ref="D40" ca="1">_xlfn.XLOOKUP(Tableau167[[#This Row],[Bloc de critères]] &amp; Tableau167[[#This Row],[Rubrique]], INDIRECT($O$3&amp;"!A:A") &amp; INDIRECT($O$3&amp;"!B:B"), INDIRECT($O$3&amp;"!J:J"), "Non trouvé")</f>
        <v>0</v>
      </c>
    </row>
    <row r="41" spans="1:4" ht="22.8" x14ac:dyDescent="0.3">
      <c r="A41" s="115" t="s">
        <v>729</v>
      </c>
      <c r="B41" s="115" t="s">
        <v>729</v>
      </c>
      <c r="C41" s="117" t="str" cm="1">
        <f t="array" aca="1" ref="C41" ca="1">_xlfn.XLOOKUP(Tableau167[[#This Row],[Bloc de critères]] &amp; Tableau167[[#This Row],[Rubrique]], INDIRECT($O$3&amp;"!A:A") &amp; INDIRECT($O$3&amp;"!B:B"), INDIRECT($O$3&amp;"!F:F"))</f>
        <v>Non appliqué</v>
      </c>
      <c r="D41" s="116" t="str" cm="1">
        <f t="array" aca="1" ref="D41" ca="1">_xlfn.XLOOKUP(Tableau167[[#This Row],[Bloc de critères]] &amp; Tableau167[[#This Row],[Rubrique]], INDIRECT($O$3&amp;"!A:A") &amp; INDIRECT($O$3&amp;"!B:B"), INDIRECT($O$3&amp;"!J:J"), "Non trouvé")</f>
        <v>Non appliqué</v>
      </c>
    </row>
    <row r="42" spans="1:4" ht="22.8" x14ac:dyDescent="0.3">
      <c r="A42" s="115" t="s">
        <v>731</v>
      </c>
      <c r="B42" s="115" t="s">
        <v>733</v>
      </c>
      <c r="C42" s="117" t="str" cm="1">
        <f t="array" aca="1" ref="C42" ca="1">_xlfn.XLOOKUP(Tableau167[[#This Row],[Bloc de critères]] &amp; Tableau167[[#This Row],[Rubrique]], INDIRECT($O$3&amp;"!A:A") &amp; INDIRECT($O$3&amp;"!B:B"), INDIRECT($O$3&amp;"!F:F"))</f>
        <v>Non appliqué</v>
      </c>
      <c r="D42" s="116" t="str" cm="1">
        <f t="array" aca="1" ref="D42" ca="1">_xlfn.XLOOKUP(Tableau167[[#This Row],[Bloc de critères]] &amp; Tableau167[[#This Row],[Rubrique]], INDIRECT($O$3&amp;"!A:A") &amp; INDIRECT($O$3&amp;"!B:B"), INDIRECT($O$3&amp;"!J:J"), "Non trouvé")</f>
        <v>Non appliqué</v>
      </c>
    </row>
    <row r="43" spans="1:4" ht="34.200000000000003" x14ac:dyDescent="0.3">
      <c r="A43" s="115" t="s">
        <v>731</v>
      </c>
      <c r="B43" s="115" t="s">
        <v>734</v>
      </c>
      <c r="C43" s="117" t="str" cm="1">
        <f t="array" aca="1" ref="C43" ca="1">_xlfn.XLOOKUP(Tableau167[[#This Row],[Bloc de critères]] &amp; Tableau167[[#This Row],[Rubrique]], INDIRECT($O$3&amp;"!A:A") &amp; INDIRECT($O$3&amp;"!B:B"), INDIRECT($O$3&amp;"!F:F"))</f>
        <v>Non appliqué</v>
      </c>
      <c r="D43" s="116" t="str" cm="1">
        <f t="array" aca="1" ref="D43" ca="1">_xlfn.XLOOKUP(Tableau167[[#This Row],[Bloc de critères]] &amp; Tableau167[[#This Row],[Rubrique]], INDIRECT($O$3&amp;"!A:A") &amp; INDIRECT($O$3&amp;"!B:B"), INDIRECT($O$3&amp;"!J:J"), "Non trouvé")</f>
        <v>Non appliqué</v>
      </c>
    </row>
    <row r="44" spans="1:4" ht="34.200000000000003" x14ac:dyDescent="0.3">
      <c r="A44" s="115" t="s">
        <v>731</v>
      </c>
      <c r="B44" s="115" t="s">
        <v>735</v>
      </c>
      <c r="C44" s="117" t="str" cm="1">
        <f t="array" aca="1" ref="C44" ca="1">_xlfn.XLOOKUP(Tableau167[[#This Row],[Bloc de critères]] &amp; Tableau167[[#This Row],[Rubrique]], INDIRECT($O$3&amp;"!A:A") &amp; INDIRECT($O$3&amp;"!B:B"), INDIRECT($O$3&amp;"!F:F"))</f>
        <v>Non appliqué</v>
      </c>
      <c r="D44" s="116" t="str" cm="1">
        <f t="array" aca="1" ref="D44" ca="1">_xlfn.XLOOKUP(Tableau167[[#This Row],[Bloc de critères]] &amp; Tableau167[[#This Row],[Rubrique]], INDIRECT($O$3&amp;"!A:A") &amp; INDIRECT($O$3&amp;"!B:B"), INDIRECT($O$3&amp;"!J:J"), "Non trouvé")</f>
        <v>Non appliqué</v>
      </c>
    </row>
    <row r="45" spans="1:4" ht="34.200000000000003" x14ac:dyDescent="0.3">
      <c r="A45" s="115" t="s">
        <v>731</v>
      </c>
      <c r="B45" s="115" t="s">
        <v>736</v>
      </c>
      <c r="C45" s="117" t="str" cm="1">
        <f t="array" aca="1" ref="C45" ca="1">_xlfn.XLOOKUP(Tableau167[[#This Row],[Bloc de critères]] &amp; Tableau167[[#This Row],[Rubrique]], INDIRECT($O$3&amp;"!A:A") &amp; INDIRECT($O$3&amp;"!B:B"), INDIRECT($O$3&amp;"!F:F"))</f>
        <v>Non appliqué</v>
      </c>
      <c r="D45" s="116" t="str" cm="1">
        <f t="array" aca="1" ref="D45" ca="1">_xlfn.XLOOKUP(Tableau167[[#This Row],[Bloc de critères]] &amp; Tableau167[[#This Row],[Rubrique]], INDIRECT($O$3&amp;"!A:A") &amp; INDIRECT($O$3&amp;"!B:B"), INDIRECT($O$3&amp;"!J:J"), "Non trouvé")</f>
        <v>Non appliqué</v>
      </c>
    </row>
    <row r="46" spans="1:4" ht="45.6" x14ac:dyDescent="0.3">
      <c r="A46" s="115" t="s">
        <v>731</v>
      </c>
      <c r="B46" s="115" t="s">
        <v>737</v>
      </c>
      <c r="C46" s="117" t="str" cm="1">
        <f t="array" aca="1" ref="C46" ca="1">_xlfn.XLOOKUP(Tableau167[[#This Row],[Bloc de critères]] &amp; Tableau167[[#This Row],[Rubrique]], INDIRECT($O$3&amp;"!A:A") &amp; INDIRECT($O$3&amp;"!B:B"), INDIRECT($O$3&amp;"!F:F"))</f>
        <v>Non appliqué</v>
      </c>
      <c r="D46" s="116" t="str" cm="1">
        <f t="array" aca="1" ref="D46" ca="1">_xlfn.XLOOKUP(Tableau167[[#This Row],[Bloc de critères]] &amp; Tableau167[[#This Row],[Rubrique]], INDIRECT($O$3&amp;"!A:A") &amp; INDIRECT($O$3&amp;"!B:B"), INDIRECT($O$3&amp;"!J:J"), "Non trouvé")</f>
        <v>Non appliqué</v>
      </c>
    </row>
    <row r="47" spans="1:4" x14ac:dyDescent="0.3">
      <c r="A47" s="115" t="s">
        <v>738</v>
      </c>
      <c r="B47" s="115" t="s">
        <v>738</v>
      </c>
      <c r="C47" s="117" t="str" cm="1">
        <f t="array" aca="1" ref="C47" ca="1">_xlfn.XLOOKUP(Tableau167[[#This Row],[Bloc de critères]] &amp; Tableau167[[#This Row],[Rubrique]], INDIRECT($O$3&amp;"!A:A") &amp; INDIRECT($O$3&amp;"!B:B"), INDIRECT($O$3&amp;"!F:F"))</f>
        <v>Non appliqué</v>
      </c>
      <c r="D47" s="116" t="str" cm="1">
        <f t="array" aca="1" ref="D47" ca="1">_xlfn.XLOOKUP(Tableau167[[#This Row],[Bloc de critères]] &amp; Tableau167[[#This Row],[Rubrique]], INDIRECT($O$3&amp;"!A:A") &amp; INDIRECT($O$3&amp;"!B:B"), INDIRECT($O$3&amp;"!J:J"), "Non trouvé")</f>
        <v>Non appliqué</v>
      </c>
    </row>
    <row r="48" spans="1:4" x14ac:dyDescent="0.3">
      <c r="A48" s="115" t="s">
        <v>739</v>
      </c>
      <c r="B48" s="115" t="s">
        <v>682</v>
      </c>
      <c r="C48" s="117" cm="1">
        <f t="array" aca="1" ref="C48" ca="1">_xlfn.XLOOKUP(Tableau167[[#This Row],[Bloc de critères]] &amp; Tableau167[[#This Row],[Rubrique]], INDIRECT($O$3&amp;"!A:A") &amp; INDIRECT($O$3&amp;"!B:B"), INDIRECT($O$3&amp;"!F:F"))</f>
        <v>0</v>
      </c>
      <c r="D48" s="116" cm="1">
        <f t="array" aca="1" ref="D48" ca="1">_xlfn.XLOOKUP(Tableau167[[#This Row],[Bloc de critères]] &amp; Tableau167[[#This Row],[Rubrique]], INDIRECT($O$3&amp;"!A:A") &amp; INDIRECT($O$3&amp;"!B:B"), INDIRECT($O$3&amp;"!J:J"), "Non trouvé")</f>
        <v>0</v>
      </c>
    </row>
    <row r="49" spans="1:4" x14ac:dyDescent="0.3">
      <c r="A49" s="115" t="s">
        <v>739</v>
      </c>
      <c r="B49" s="115" t="s">
        <v>742</v>
      </c>
      <c r="C49" s="117" cm="1">
        <f t="array" aca="1" ref="C49" ca="1">_xlfn.XLOOKUP(Tableau167[[#This Row],[Bloc de critères]] &amp; Tableau167[[#This Row],[Rubrique]], INDIRECT($O$3&amp;"!A:A") &amp; INDIRECT($O$3&amp;"!B:B"), INDIRECT($O$3&amp;"!F:F"))</f>
        <v>0</v>
      </c>
      <c r="D49" s="116" cm="1">
        <f t="array" aca="1" ref="D49" ca="1">_xlfn.XLOOKUP(Tableau167[[#This Row],[Bloc de critères]] &amp; Tableau167[[#This Row],[Rubrique]], INDIRECT($O$3&amp;"!A:A") &amp; INDIRECT($O$3&amp;"!B:B"), INDIRECT($O$3&amp;"!J:J"), "Non trouvé")</f>
        <v>0</v>
      </c>
    </row>
    <row r="50" spans="1:4" ht="22.8" x14ac:dyDescent="0.3">
      <c r="A50" s="115" t="s">
        <v>739</v>
      </c>
      <c r="B50" s="115" t="s">
        <v>743</v>
      </c>
      <c r="C50" s="117" cm="1">
        <f t="array" aca="1" ref="C50" ca="1">_xlfn.XLOOKUP(Tableau167[[#This Row],[Bloc de critères]] &amp; Tableau167[[#This Row],[Rubrique]], INDIRECT($O$3&amp;"!A:A") &amp; INDIRECT($O$3&amp;"!B:B"), INDIRECT($O$3&amp;"!F:F"))</f>
        <v>0</v>
      </c>
      <c r="D50" s="116" cm="1">
        <f t="array" aca="1" ref="D50" ca="1">_xlfn.XLOOKUP(Tableau167[[#This Row],[Bloc de critères]] &amp; Tableau167[[#This Row],[Rubrique]], INDIRECT($O$3&amp;"!A:A") &amp; INDIRECT($O$3&amp;"!B:B"), INDIRECT($O$3&amp;"!J:J"), "Non trouvé")</f>
        <v>0</v>
      </c>
    </row>
    <row r="51" spans="1:4" x14ac:dyDescent="0.3">
      <c r="A51" s="115" t="s">
        <v>739</v>
      </c>
      <c r="B51" s="115" t="s">
        <v>746</v>
      </c>
      <c r="C51" s="117" cm="1">
        <f t="array" aca="1" ref="C51" ca="1">_xlfn.XLOOKUP(Tableau167[[#This Row],[Bloc de critères]] &amp; Tableau167[[#This Row],[Rubrique]], INDIRECT($O$3&amp;"!A:A") &amp; INDIRECT($O$3&amp;"!B:B"), INDIRECT($O$3&amp;"!F:F"))</f>
        <v>0</v>
      </c>
      <c r="D51" s="116" cm="1">
        <f t="array" aca="1" ref="D51" ca="1">_xlfn.XLOOKUP(Tableau167[[#This Row],[Bloc de critères]] &amp; Tableau167[[#This Row],[Rubrique]], INDIRECT($O$3&amp;"!A:A") &amp; INDIRECT($O$3&amp;"!B:B"), INDIRECT($O$3&amp;"!J:J"), "Non trouvé")</f>
        <v>0</v>
      </c>
    </row>
    <row r="52" spans="1:4" x14ac:dyDescent="0.3">
      <c r="A52" s="115" t="s">
        <v>739</v>
      </c>
      <c r="B52" s="115" t="s">
        <v>747</v>
      </c>
      <c r="C52" s="117" cm="1">
        <f t="array" aca="1" ref="C52" ca="1">_xlfn.XLOOKUP(Tableau167[[#This Row],[Bloc de critères]] &amp; Tableau167[[#This Row],[Rubrique]], INDIRECT($O$3&amp;"!A:A") &amp; INDIRECT($O$3&amp;"!B:B"), INDIRECT($O$3&amp;"!F:F"))</f>
        <v>0</v>
      </c>
      <c r="D52" s="116" t="str" cm="1">
        <f t="array" aca="1" ref="D52" ca="1">_xlfn.XLOOKUP(Tableau167[[#This Row],[Bloc de critères]] &amp; Tableau167[[#This Row],[Rubrique]], INDIRECT($O$3&amp;"!A:A") &amp; INDIRECT($O$3&amp;"!B:B"), INDIRECT($O$3&amp;"!J:J"), "Non trouvé")</f>
        <v>Non appliqué</v>
      </c>
    </row>
    <row r="53" spans="1:4" x14ac:dyDescent="0.3">
      <c r="A53" s="115" t="s">
        <v>739</v>
      </c>
      <c r="B53" s="115" t="s">
        <v>748</v>
      </c>
      <c r="C53" s="117" cm="1">
        <f t="array" aca="1" ref="C53" ca="1">_xlfn.XLOOKUP(Tableau167[[#This Row],[Bloc de critères]] &amp; Tableau167[[#This Row],[Rubrique]], INDIRECT($O$3&amp;"!A:A") &amp; INDIRECT($O$3&amp;"!B:B"), INDIRECT($O$3&amp;"!F:F"))</f>
        <v>0</v>
      </c>
      <c r="D53" s="116" cm="1">
        <f t="array" aca="1" ref="D53" ca="1">_xlfn.XLOOKUP(Tableau167[[#This Row],[Bloc de critères]] &amp; Tableau167[[#This Row],[Rubrique]], INDIRECT($O$3&amp;"!A:A") &amp; INDIRECT($O$3&amp;"!B:B"), INDIRECT($O$3&amp;"!J:J"), "Non trouvé")</f>
        <v>0</v>
      </c>
    </row>
    <row r="54" spans="1:4" x14ac:dyDescent="0.3">
      <c r="A54" s="115" t="s">
        <v>739</v>
      </c>
      <c r="B54" s="115" t="s">
        <v>751</v>
      </c>
      <c r="C54" s="117" cm="1">
        <f t="array" aca="1" ref="C54" ca="1">_xlfn.XLOOKUP(Tableau167[[#This Row],[Bloc de critères]] &amp; Tableau167[[#This Row],[Rubrique]], INDIRECT($O$3&amp;"!A:A") &amp; INDIRECT($O$3&amp;"!B:B"), INDIRECT($O$3&amp;"!F:F"))</f>
        <v>0</v>
      </c>
      <c r="D54" s="116" cm="1">
        <f t="array" aca="1" ref="D54" ca="1">_xlfn.XLOOKUP(Tableau167[[#This Row],[Bloc de critères]] &amp; Tableau167[[#This Row],[Rubrique]], INDIRECT($O$3&amp;"!A:A") &amp; INDIRECT($O$3&amp;"!B:B"), INDIRECT($O$3&amp;"!J:J"), "Non trouvé")</f>
        <v>0</v>
      </c>
    </row>
    <row r="55" spans="1:4" ht="22.8" x14ac:dyDescent="0.3">
      <c r="A55" s="115" t="s">
        <v>739</v>
      </c>
      <c r="B55" s="115" t="s">
        <v>752</v>
      </c>
      <c r="C55" s="117" cm="1">
        <f t="array" aca="1" ref="C55" ca="1">_xlfn.XLOOKUP(Tableau167[[#This Row],[Bloc de critères]] &amp; Tableau167[[#This Row],[Rubrique]], INDIRECT($O$3&amp;"!A:A") &amp; INDIRECT($O$3&amp;"!B:B"), INDIRECT($O$3&amp;"!F:F"))</f>
        <v>0</v>
      </c>
      <c r="D55" s="116" cm="1">
        <f t="array" aca="1" ref="D55" ca="1">_xlfn.XLOOKUP(Tableau167[[#This Row],[Bloc de critères]] &amp; Tableau167[[#This Row],[Rubrique]], INDIRECT($O$3&amp;"!A:A") &amp; INDIRECT($O$3&amp;"!B:B"), INDIRECT($O$3&amp;"!J:J"), "Non trouvé")</f>
        <v>0</v>
      </c>
    </row>
    <row r="56" spans="1:4" ht="34.200000000000003" x14ac:dyDescent="0.3">
      <c r="A56" s="115" t="s">
        <v>739</v>
      </c>
      <c r="B56" s="115" t="s">
        <v>753</v>
      </c>
      <c r="C56" s="117" cm="1">
        <f t="array" aca="1" ref="C56" ca="1">_xlfn.XLOOKUP(Tableau167[[#This Row],[Bloc de critères]] &amp; Tableau167[[#This Row],[Rubrique]], INDIRECT($O$3&amp;"!A:A") &amp; INDIRECT($O$3&amp;"!B:B"), INDIRECT($O$3&amp;"!F:F"))</f>
        <v>0</v>
      </c>
      <c r="D56" s="116" cm="1">
        <f t="array" aca="1" ref="D56" ca="1">_xlfn.XLOOKUP(Tableau167[[#This Row],[Bloc de critères]] &amp; Tableau167[[#This Row],[Rubrique]], INDIRECT($O$3&amp;"!A:A") &amp; INDIRECT($O$3&amp;"!B:B"), INDIRECT($O$3&amp;"!J:J"), "Non trouvé")</f>
        <v>0</v>
      </c>
    </row>
    <row r="57" spans="1:4" ht="22.8" x14ac:dyDescent="0.3">
      <c r="A57" s="115" t="s">
        <v>739</v>
      </c>
      <c r="B57" s="115" t="s">
        <v>755</v>
      </c>
      <c r="C57" s="117" cm="1">
        <f t="array" aca="1" ref="C57" ca="1">_xlfn.XLOOKUP(Tableau167[[#This Row],[Bloc de critères]] &amp; Tableau167[[#This Row],[Rubrique]], INDIRECT($O$3&amp;"!A:A") &amp; INDIRECT($O$3&amp;"!B:B"), INDIRECT($O$3&amp;"!F:F"))</f>
        <v>0</v>
      </c>
      <c r="D57" s="116" cm="1">
        <f t="array" aca="1" ref="D57" ca="1">_xlfn.XLOOKUP(Tableau167[[#This Row],[Bloc de critères]] &amp; Tableau167[[#This Row],[Rubrique]], INDIRECT($O$3&amp;"!A:A") &amp; INDIRECT($O$3&amp;"!B:B"), INDIRECT($O$3&amp;"!J:J"), "Non trouvé")</f>
        <v>0</v>
      </c>
    </row>
    <row r="58" spans="1:4" x14ac:dyDescent="0.3">
      <c r="A58" s="115" t="s">
        <v>739</v>
      </c>
      <c r="B58" s="115" t="s">
        <v>756</v>
      </c>
      <c r="C58" s="117" cm="1">
        <f t="array" aca="1" ref="C58" ca="1">_xlfn.XLOOKUP(Tableau167[[#This Row],[Bloc de critères]] &amp; Tableau167[[#This Row],[Rubrique]], INDIRECT($O$3&amp;"!A:A") &amp; INDIRECT($O$3&amp;"!B:B"), INDIRECT($O$3&amp;"!F:F"))</f>
        <v>0</v>
      </c>
      <c r="D58" s="116" cm="1">
        <f t="array" aca="1" ref="D58" ca="1">_xlfn.XLOOKUP(Tableau167[[#This Row],[Bloc de critères]] &amp; Tableau167[[#This Row],[Rubrique]], INDIRECT($O$3&amp;"!A:A") &amp; INDIRECT($O$3&amp;"!B:B"), INDIRECT($O$3&amp;"!J:J"), "Non trouvé")</f>
        <v>0</v>
      </c>
    </row>
    <row r="59" spans="1:4" ht="22.8" x14ac:dyDescent="0.3">
      <c r="A59" s="115" t="s">
        <v>757</v>
      </c>
      <c r="B59" s="115" t="s">
        <v>682</v>
      </c>
      <c r="C59" s="117" cm="1">
        <f t="array" aca="1" ref="C59" ca="1">_xlfn.XLOOKUP(Tableau167[[#This Row],[Bloc de critères]] &amp; Tableau167[[#This Row],[Rubrique]], INDIRECT($O$3&amp;"!A:A") &amp; INDIRECT($O$3&amp;"!B:B"), INDIRECT($O$3&amp;"!F:F"))</f>
        <v>0</v>
      </c>
      <c r="D59" s="116" cm="1">
        <f t="array" aca="1" ref="D59" ca="1">_xlfn.XLOOKUP(Tableau167[[#This Row],[Bloc de critères]] &amp; Tableau167[[#This Row],[Rubrique]], INDIRECT($O$3&amp;"!A:A") &amp; INDIRECT($O$3&amp;"!B:B"), INDIRECT($O$3&amp;"!J:J"), "Non trouvé")</f>
        <v>0</v>
      </c>
    </row>
    <row r="60" spans="1:4" ht="22.8" x14ac:dyDescent="0.3">
      <c r="A60" s="115" t="s">
        <v>757</v>
      </c>
      <c r="B60" s="115" t="s">
        <v>675</v>
      </c>
      <c r="C60" s="117" cm="1">
        <f t="array" aca="1" ref="C60" ca="1">_xlfn.XLOOKUP(Tableau167[[#This Row],[Bloc de critères]] &amp; Tableau167[[#This Row],[Rubrique]], INDIRECT($O$3&amp;"!A:A") &amp; INDIRECT($O$3&amp;"!B:B"), INDIRECT($O$3&amp;"!F:F"))</f>
        <v>0</v>
      </c>
      <c r="D60" s="116" t="str" cm="1">
        <f t="array" aca="1" ref="D60" ca="1">_xlfn.XLOOKUP(Tableau167[[#This Row],[Bloc de critères]] &amp; Tableau167[[#This Row],[Rubrique]], INDIRECT($O$3&amp;"!A:A") &amp; INDIRECT($O$3&amp;"!B:B"), INDIRECT($O$3&amp;"!J:J"), "Non trouvé")</f>
        <v>Non appliqué</v>
      </c>
    </row>
    <row r="61" spans="1:4" ht="22.8" x14ac:dyDescent="0.3">
      <c r="A61" s="115" t="s">
        <v>757</v>
      </c>
      <c r="B61" s="115" t="s">
        <v>759</v>
      </c>
      <c r="C61" s="117" cm="1">
        <f t="array" aca="1" ref="C61" ca="1">_xlfn.XLOOKUP(Tableau167[[#This Row],[Bloc de critères]] &amp; Tableau167[[#This Row],[Rubrique]], INDIRECT($O$3&amp;"!A:A") &amp; INDIRECT($O$3&amp;"!B:B"), INDIRECT($O$3&amp;"!F:F"))</f>
        <v>0</v>
      </c>
      <c r="D61" s="116" cm="1">
        <f t="array" aca="1" ref="D61" ca="1">_xlfn.XLOOKUP(Tableau167[[#This Row],[Bloc de critères]] &amp; Tableau167[[#This Row],[Rubrique]], INDIRECT($O$3&amp;"!A:A") &amp; INDIRECT($O$3&amp;"!B:B"), INDIRECT($O$3&amp;"!J:J"), "Non trouvé")</f>
        <v>0</v>
      </c>
    </row>
    <row r="62" spans="1:4" ht="22.8" x14ac:dyDescent="0.3">
      <c r="A62" s="115" t="s">
        <v>757</v>
      </c>
      <c r="B62" s="115" t="s">
        <v>761</v>
      </c>
      <c r="C62" s="117" t="str" cm="1">
        <f t="array" aca="1" ref="C62" ca="1">_xlfn.XLOOKUP(Tableau167[[#This Row],[Bloc de critères]] &amp; Tableau167[[#This Row],[Rubrique]], INDIRECT($O$3&amp;"!A:A") &amp; INDIRECT($O$3&amp;"!B:B"), INDIRECT($O$3&amp;"!F:F"))</f>
        <v>Non appliqué</v>
      </c>
      <c r="D62" s="116" t="str" cm="1">
        <f t="array" aca="1" ref="D62" ca="1">_xlfn.XLOOKUP(Tableau167[[#This Row],[Bloc de critères]] &amp; Tableau167[[#This Row],[Rubrique]], INDIRECT($O$3&amp;"!A:A") &amp; INDIRECT($O$3&amp;"!B:B"), INDIRECT($O$3&amp;"!J:J"), "Non trouvé")</f>
        <v>Non appliqué</v>
      </c>
    </row>
    <row r="63" spans="1:4" ht="22.8" x14ac:dyDescent="0.3">
      <c r="A63" s="115" t="s">
        <v>757</v>
      </c>
      <c r="B63" s="115" t="s">
        <v>762</v>
      </c>
      <c r="C63" s="117" cm="1">
        <f t="array" aca="1" ref="C63" ca="1">_xlfn.XLOOKUP(Tableau167[[#This Row],[Bloc de critères]] &amp; Tableau167[[#This Row],[Rubrique]], INDIRECT($O$3&amp;"!A:A") &amp; INDIRECT($O$3&amp;"!B:B"), INDIRECT($O$3&amp;"!F:F"))</f>
        <v>0</v>
      </c>
      <c r="D63" s="116" cm="1">
        <f t="array" aca="1" ref="D63" ca="1">_xlfn.XLOOKUP(Tableau167[[#This Row],[Bloc de critères]] &amp; Tableau167[[#This Row],[Rubrique]], INDIRECT($O$3&amp;"!A:A") &amp; INDIRECT($O$3&amp;"!B:B"), INDIRECT($O$3&amp;"!J:J"), "Non trouvé")</f>
        <v>0</v>
      </c>
    </row>
    <row r="64" spans="1:4" ht="22.8" x14ac:dyDescent="0.3">
      <c r="A64" s="115" t="s">
        <v>757</v>
      </c>
      <c r="B64" s="115" t="s">
        <v>763</v>
      </c>
      <c r="C64" s="117" cm="1">
        <f t="array" aca="1" ref="C64" ca="1">_xlfn.XLOOKUP(Tableau167[[#This Row],[Bloc de critères]] &amp; Tableau167[[#This Row],[Rubrique]], INDIRECT($O$3&amp;"!A:A") &amp; INDIRECT($O$3&amp;"!B:B"), INDIRECT($O$3&amp;"!F:F"))</f>
        <v>0</v>
      </c>
      <c r="D64" s="116" cm="1">
        <f t="array" aca="1" ref="D64" ca="1">_xlfn.XLOOKUP(Tableau167[[#This Row],[Bloc de critères]] &amp; Tableau167[[#This Row],[Rubrique]], INDIRECT($O$3&amp;"!A:A") &amp; INDIRECT($O$3&amp;"!B:B"), INDIRECT($O$3&amp;"!J:J"), "Non trouvé")</f>
        <v>0</v>
      </c>
    </row>
    <row r="65" spans="1:4" ht="22.8" x14ac:dyDescent="0.3">
      <c r="A65" s="115" t="s">
        <v>757</v>
      </c>
      <c r="B65" s="115" t="s">
        <v>765</v>
      </c>
      <c r="C65" s="117" cm="1">
        <f t="array" aca="1" ref="C65" ca="1">_xlfn.XLOOKUP(Tableau167[[#This Row],[Bloc de critères]] &amp; Tableau167[[#This Row],[Rubrique]], INDIRECT($O$3&amp;"!A:A") &amp; INDIRECT($O$3&amp;"!B:B"), INDIRECT($O$3&amp;"!F:F"))</f>
        <v>0</v>
      </c>
      <c r="D65" s="116" cm="1">
        <f t="array" aca="1" ref="D65" ca="1">_xlfn.XLOOKUP(Tableau167[[#This Row],[Bloc de critères]] &amp; Tableau167[[#This Row],[Rubrique]], INDIRECT($O$3&amp;"!A:A") &amp; INDIRECT($O$3&amp;"!B:B"), INDIRECT($O$3&amp;"!J:J"), "Non trouvé")</f>
        <v>0</v>
      </c>
    </row>
    <row r="66" spans="1:4" ht="22.8" x14ac:dyDescent="0.3">
      <c r="A66" s="115" t="s">
        <v>757</v>
      </c>
      <c r="B66" s="115" t="s">
        <v>766</v>
      </c>
      <c r="C66" s="117" cm="1">
        <f t="array" aca="1" ref="C66" ca="1">_xlfn.XLOOKUP(Tableau167[[#This Row],[Bloc de critères]] &amp; Tableau167[[#This Row],[Rubrique]], INDIRECT($O$3&amp;"!A:A") &amp; INDIRECT($O$3&amp;"!B:B"), INDIRECT($O$3&amp;"!F:F"))</f>
        <v>0</v>
      </c>
      <c r="D66" s="116" cm="1">
        <f t="array" aca="1" ref="D66" ca="1">_xlfn.XLOOKUP(Tableau167[[#This Row],[Bloc de critères]] &amp; Tableau167[[#This Row],[Rubrique]], INDIRECT($O$3&amp;"!A:A") &amp; INDIRECT($O$3&amp;"!B:B"), INDIRECT($O$3&amp;"!J:J"), "Non trouvé")</f>
        <v>0</v>
      </c>
    </row>
    <row r="67" spans="1:4" ht="22.8" x14ac:dyDescent="0.3">
      <c r="A67" s="115" t="s">
        <v>767</v>
      </c>
      <c r="B67" s="115" t="s">
        <v>768</v>
      </c>
      <c r="C67" s="117" cm="1">
        <f t="array" aca="1" ref="C67" ca="1">_xlfn.XLOOKUP(Tableau167[[#This Row],[Bloc de critères]] &amp; Tableau167[[#This Row],[Rubrique]], INDIRECT($O$3&amp;"!A:A") &amp; INDIRECT($O$3&amp;"!B:B"), INDIRECT($O$3&amp;"!F:F"))</f>
        <v>0</v>
      </c>
      <c r="D67" s="116" cm="1">
        <f t="array" aca="1" ref="D67" ca="1">_xlfn.XLOOKUP(Tableau167[[#This Row],[Bloc de critères]] &amp; Tableau167[[#This Row],[Rubrique]], INDIRECT($O$3&amp;"!A:A") &amp; INDIRECT($O$3&amp;"!B:B"), INDIRECT($O$3&amp;"!J:J"), "Non trouvé")</f>
        <v>0</v>
      </c>
    </row>
    <row r="68" spans="1:4" ht="22.8" x14ac:dyDescent="0.3">
      <c r="A68" s="115" t="s">
        <v>767</v>
      </c>
      <c r="B68" s="115" t="s">
        <v>770</v>
      </c>
      <c r="C68" s="117" cm="1">
        <f t="array" aca="1" ref="C68" ca="1">_xlfn.XLOOKUP(Tableau167[[#This Row],[Bloc de critères]] &amp; Tableau167[[#This Row],[Rubrique]], INDIRECT($O$3&amp;"!A:A") &amp; INDIRECT($O$3&amp;"!B:B"), INDIRECT($O$3&amp;"!F:F"))</f>
        <v>0</v>
      </c>
      <c r="D68" s="116" t="str" cm="1">
        <f t="array" aca="1" ref="D68" ca="1">_xlfn.XLOOKUP(Tableau167[[#This Row],[Bloc de critères]] &amp; Tableau167[[#This Row],[Rubrique]], INDIRECT($O$3&amp;"!A:A") &amp; INDIRECT($O$3&amp;"!B:B"), INDIRECT($O$3&amp;"!J:J"), "Non trouvé")</f>
        <v>Non appliqué</v>
      </c>
    </row>
    <row r="69" spans="1:4" ht="22.8" x14ac:dyDescent="0.3">
      <c r="A69" s="115" t="s">
        <v>767</v>
      </c>
      <c r="B69" s="115" t="s">
        <v>772</v>
      </c>
      <c r="C69" s="117" t="str" cm="1">
        <f t="array" aca="1" ref="C69" ca="1">_xlfn.XLOOKUP(Tableau167[[#This Row],[Bloc de critères]] &amp; Tableau167[[#This Row],[Rubrique]], INDIRECT($O$3&amp;"!A:A") &amp; INDIRECT($O$3&amp;"!B:B"), INDIRECT($O$3&amp;"!F:F"))</f>
        <v>Non appliqué</v>
      </c>
      <c r="D69" s="116" cm="1">
        <f t="array" aca="1" ref="D69" ca="1">_xlfn.XLOOKUP(Tableau167[[#This Row],[Bloc de critères]] &amp; Tableau167[[#This Row],[Rubrique]], INDIRECT($O$3&amp;"!A:A") &amp; INDIRECT($O$3&amp;"!B:B"), INDIRECT($O$3&amp;"!J:J"), "Non trouvé")</f>
        <v>0</v>
      </c>
    </row>
    <row r="70" spans="1:4" ht="22.8" x14ac:dyDescent="0.3">
      <c r="A70" s="115" t="s">
        <v>773</v>
      </c>
      <c r="B70" s="115" t="s">
        <v>775</v>
      </c>
      <c r="C70" s="117" cm="1">
        <f t="array" aca="1" ref="C70" ca="1">_xlfn.XLOOKUP(Tableau167[[#This Row],[Bloc de critères]] &amp; Tableau167[[#This Row],[Rubrique]], INDIRECT($O$3&amp;"!A:A") &amp; INDIRECT($O$3&amp;"!B:B"), INDIRECT($O$3&amp;"!F:F"))</f>
        <v>0</v>
      </c>
      <c r="D70" s="116" cm="1">
        <f t="array" aca="1" ref="D70" ca="1">_xlfn.XLOOKUP(Tableau167[[#This Row],[Bloc de critères]] &amp; Tableau167[[#This Row],[Rubrique]], INDIRECT($O$3&amp;"!A:A") &amp; INDIRECT($O$3&amp;"!B:B"), INDIRECT($O$3&amp;"!J:J"), "Non trouvé")</f>
        <v>0</v>
      </c>
    </row>
    <row r="71" spans="1:4" ht="22.8" x14ac:dyDescent="0.3">
      <c r="A71" s="115" t="s">
        <v>773</v>
      </c>
      <c r="B71" s="115" t="s">
        <v>776</v>
      </c>
      <c r="C71" s="117" cm="1">
        <f t="array" aca="1" ref="C71" ca="1">_xlfn.XLOOKUP(Tableau167[[#This Row],[Bloc de critères]] &amp; Tableau167[[#This Row],[Rubrique]], INDIRECT($O$3&amp;"!A:A") &amp; INDIRECT($O$3&amp;"!B:B"), INDIRECT($O$3&amp;"!F:F"))</f>
        <v>0</v>
      </c>
      <c r="D71" s="116" cm="1">
        <f t="array" aca="1" ref="D71" ca="1">_xlfn.XLOOKUP(Tableau167[[#This Row],[Bloc de critères]] &amp; Tableau167[[#This Row],[Rubrique]], INDIRECT($O$3&amp;"!A:A") &amp; INDIRECT($O$3&amp;"!B:B"), INDIRECT($O$3&amp;"!J:J"), "Non trouvé")</f>
        <v>0</v>
      </c>
    </row>
    <row r="72" spans="1:4" ht="22.8" x14ac:dyDescent="0.3">
      <c r="A72" s="115" t="s">
        <v>773</v>
      </c>
      <c r="B72" s="115" t="s">
        <v>777</v>
      </c>
      <c r="C72" s="117" cm="1">
        <f t="array" aca="1" ref="C72" ca="1">_xlfn.XLOOKUP(Tableau167[[#This Row],[Bloc de critères]] &amp; Tableau167[[#This Row],[Rubrique]], INDIRECT($O$3&amp;"!A:A") &amp; INDIRECT($O$3&amp;"!B:B"), INDIRECT($O$3&amp;"!F:F"))</f>
        <v>0</v>
      </c>
      <c r="D72" s="116" cm="1">
        <f t="array" aca="1" ref="D72" ca="1">_xlfn.XLOOKUP(Tableau167[[#This Row],[Bloc de critères]] &amp; Tableau167[[#This Row],[Rubrique]], INDIRECT($O$3&amp;"!A:A") &amp; INDIRECT($O$3&amp;"!B:B"), INDIRECT($O$3&amp;"!J:J"), "Non trouvé")</f>
        <v>0</v>
      </c>
    </row>
    <row r="73" spans="1:4" x14ac:dyDescent="0.3">
      <c r="A73" s="111"/>
      <c r="B73" s="111"/>
      <c r="C73" s="110"/>
      <c r="D73" s="109"/>
    </row>
    <row r="74" spans="1:4" x14ac:dyDescent="0.3">
      <c r="A74" s="112"/>
      <c r="B74" s="112"/>
      <c r="C74" s="110"/>
      <c r="D74" s="109"/>
    </row>
    <row r="75" spans="1:4" x14ac:dyDescent="0.3">
      <c r="A75" s="112"/>
      <c r="B75" s="112"/>
      <c r="C75" s="110"/>
      <c r="D75" s="109"/>
    </row>
    <row r="76" spans="1:4" x14ac:dyDescent="0.3">
      <c r="A76" s="112"/>
      <c r="B76" s="112"/>
      <c r="C76" s="110"/>
      <c r="D76" s="109"/>
    </row>
    <row r="77" spans="1:4" x14ac:dyDescent="0.3">
      <c r="A77" s="112"/>
      <c r="B77" s="112"/>
      <c r="C77" s="110"/>
      <c r="D77" s="109"/>
    </row>
    <row r="78" spans="1:4" x14ac:dyDescent="0.3">
      <c r="A78" s="112"/>
      <c r="B78" s="112"/>
      <c r="C78" s="110"/>
      <c r="D78" s="109"/>
    </row>
    <row r="79" spans="1:4" x14ac:dyDescent="0.3">
      <c r="A79" s="112"/>
      <c r="B79" s="112"/>
      <c r="C79" s="110"/>
      <c r="D79" s="109"/>
    </row>
    <row r="80" spans="1:4" x14ac:dyDescent="0.3">
      <c r="A80" s="112"/>
      <c r="B80" s="112"/>
      <c r="C80" s="110"/>
      <c r="D80" s="109"/>
    </row>
    <row r="81" spans="1:4" x14ac:dyDescent="0.3">
      <c r="A81" s="112"/>
      <c r="B81" s="112"/>
      <c r="C81" s="110"/>
      <c r="D81" s="109"/>
    </row>
    <row r="82" spans="1:4" x14ac:dyDescent="0.3">
      <c r="A82" s="112"/>
      <c r="B82" s="112"/>
      <c r="C82" s="110"/>
      <c r="D82" s="109"/>
    </row>
    <row r="83" spans="1:4" x14ac:dyDescent="0.3">
      <c r="A83" s="112"/>
      <c r="B83" s="112"/>
      <c r="C83" s="110"/>
      <c r="D83" s="109"/>
    </row>
    <row r="84" spans="1:4" x14ac:dyDescent="0.3">
      <c r="A84" s="112"/>
      <c r="B84" s="112"/>
      <c r="C84" s="110"/>
      <c r="D84" s="109"/>
    </row>
    <row r="85" spans="1:4" x14ac:dyDescent="0.3">
      <c r="A85" s="112"/>
      <c r="B85" s="112"/>
      <c r="C85" s="110"/>
      <c r="D85" s="109"/>
    </row>
    <row r="86" spans="1:4" x14ac:dyDescent="0.3">
      <c r="A86" s="112"/>
      <c r="B86" s="112"/>
      <c r="C86" s="110"/>
      <c r="D86" s="109"/>
    </row>
    <row r="87" spans="1:4" x14ac:dyDescent="0.3">
      <c r="A87" s="112"/>
      <c r="B87" s="112"/>
      <c r="C87" s="110"/>
      <c r="D87" s="109"/>
    </row>
    <row r="88" spans="1:4" x14ac:dyDescent="0.3">
      <c r="A88" s="112"/>
      <c r="B88" s="112"/>
      <c r="C88" s="110"/>
      <c r="D88" s="109"/>
    </row>
    <row r="89" spans="1:4" x14ac:dyDescent="0.3">
      <c r="A89" s="112"/>
      <c r="B89" s="112"/>
      <c r="C89" s="110"/>
      <c r="D89" s="109"/>
    </row>
    <row r="90" spans="1:4" x14ac:dyDescent="0.3">
      <c r="A90" s="112"/>
      <c r="B90" s="112"/>
      <c r="C90" s="110"/>
      <c r="D90" s="109"/>
    </row>
    <row r="91" spans="1:4" x14ac:dyDescent="0.3">
      <c r="A91"/>
      <c r="B91"/>
      <c r="C91"/>
    </row>
    <row r="92" spans="1:4" x14ac:dyDescent="0.3">
      <c r="A92"/>
      <c r="B92"/>
      <c r="C92"/>
    </row>
    <row r="93" spans="1:4" x14ac:dyDescent="0.3">
      <c r="A93"/>
      <c r="B93"/>
      <c r="C93"/>
    </row>
    <row r="94" spans="1:4" x14ac:dyDescent="0.3">
      <c r="A94"/>
      <c r="B94"/>
      <c r="C94"/>
    </row>
    <row r="95" spans="1:4" x14ac:dyDescent="0.3">
      <c r="A95"/>
      <c r="B95"/>
      <c r="C95"/>
    </row>
    <row r="96" spans="1:4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D65A-61DE-4D61-8873-5C8E8909AC80}">
  <dimension ref="B2:M28"/>
  <sheetViews>
    <sheetView tabSelected="1" view="pageLayout" zoomScale="73" zoomScaleNormal="108" zoomScaleSheetLayoutView="75" zoomScalePageLayoutView="73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10937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1"/>
      <c r="G6" s="21"/>
      <c r="H6" s="21"/>
      <c r="I6" s="20"/>
      <c r="J6" s="20"/>
      <c r="K6" s="21"/>
      <c r="L6" s="20"/>
      <c r="M6" s="24"/>
    </row>
    <row r="7" spans="2:13" ht="14.7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x14ac:dyDescent="0.3">
      <c r="B8" s="20"/>
      <c r="C8" s="20"/>
      <c r="D8" s="20"/>
      <c r="E8" s="28"/>
      <c r="F8" s="28"/>
      <c r="G8" s="28"/>
      <c r="H8" s="20"/>
      <c r="I8" s="20"/>
      <c r="J8" s="20"/>
      <c r="K8" s="20"/>
      <c r="L8" s="20"/>
    </row>
    <row r="9" spans="2:13" ht="14.7" customHeight="1" x14ac:dyDescent="0.3">
      <c r="B9" s="20"/>
      <c r="C9" s="127"/>
      <c r="D9" s="125"/>
      <c r="E9" s="126"/>
      <c r="F9" s="38"/>
      <c r="G9" s="38"/>
      <c r="H9" s="38"/>
      <c r="I9" s="38"/>
      <c r="J9" s="38"/>
      <c r="K9" s="38"/>
      <c r="L9" s="20"/>
    </row>
    <row r="10" spans="2:13" ht="14.7" customHeight="1" x14ac:dyDescent="0.3">
      <c r="B10" s="20"/>
      <c r="C10" s="127"/>
      <c r="D10" s="125"/>
      <c r="E10" s="126"/>
      <c r="F10" s="38"/>
      <c r="G10" s="38"/>
      <c r="H10" s="38"/>
      <c r="I10" s="38"/>
      <c r="J10" s="38"/>
      <c r="K10" s="38"/>
      <c r="L10" s="20"/>
    </row>
    <row r="11" spans="2:13" ht="16.8" x14ac:dyDescent="0.3">
      <c r="B11" s="20"/>
      <c r="C11" s="127"/>
      <c r="D11" s="125"/>
      <c r="E11" s="126"/>
      <c r="F11" s="38"/>
      <c r="G11" s="38"/>
      <c r="H11" s="38"/>
      <c r="I11" s="38"/>
      <c r="J11" s="38"/>
      <c r="K11" s="38"/>
      <c r="L11" s="20"/>
    </row>
    <row r="12" spans="2:13" ht="16.8" x14ac:dyDescent="0.3">
      <c r="B12" s="20"/>
      <c r="C12" s="127"/>
      <c r="D12" s="125"/>
      <c r="E12" s="126"/>
      <c r="F12" s="38"/>
      <c r="G12" s="38"/>
      <c r="H12" s="38"/>
      <c r="I12" s="38"/>
      <c r="J12" s="38"/>
      <c r="K12" s="38"/>
      <c r="L12" s="20"/>
    </row>
    <row r="13" spans="2:13" ht="16.8" x14ac:dyDescent="0.3">
      <c r="B13" s="20"/>
      <c r="C13" s="127"/>
      <c r="D13" s="125"/>
      <c r="E13" s="126"/>
      <c r="F13" s="38"/>
      <c r="G13" s="38"/>
      <c r="H13" s="38"/>
      <c r="I13" s="38"/>
      <c r="J13" s="38"/>
      <c r="K13" s="38"/>
      <c r="L13" s="20"/>
    </row>
    <row r="14" spans="2:13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2:13" x14ac:dyDescent="0.3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2:13" x14ac:dyDescent="0.3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2:12" x14ac:dyDescent="0.3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2:12" ht="17.100000000000001" customHeight="1" x14ac:dyDescent="0.3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2:12" x14ac:dyDescent="0.3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2:12" x14ac:dyDescent="0.3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3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3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2:12" x14ac:dyDescent="0.3">
      <c r="B24" s="29"/>
      <c r="C24" s="29"/>
      <c r="D24" s="29"/>
      <c r="E24" s="29"/>
      <c r="F24" s="31"/>
      <c r="G24" s="31"/>
      <c r="H24" s="31"/>
      <c r="I24" s="30"/>
      <c r="J24" s="30"/>
      <c r="K24" s="30"/>
      <c r="L24" s="30"/>
    </row>
    <row r="25" spans="2:12" x14ac:dyDescent="0.3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2:12" x14ac:dyDescent="0.3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x14ac:dyDescent="0.3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2" x14ac:dyDescent="0.3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sheetProtection sheet="1" objects="1" scenarios="1"/>
  <mergeCells count="1">
    <mergeCell ref="F3:K5"/>
  </mergeCells>
  <pageMargins left="0.7" right="0.7" top="0.75" bottom="0.75" header="0.3" footer="0.3"/>
  <pageSetup paperSize="9" scale="73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9113-F6DE-437F-B936-3BCE3CE05E39}">
  <dimension ref="A1:P496"/>
  <sheetViews>
    <sheetView topLeftCell="B1" zoomScale="106" zoomScaleNormal="100" workbookViewId="0">
      <selection activeCell="I16" sqref="I16:J16"/>
    </sheetView>
  </sheetViews>
  <sheetFormatPr baseColWidth="10" defaultColWidth="11.33203125" defaultRowHeight="14.4" x14ac:dyDescent="0.3"/>
  <cols>
    <col min="1" max="1" width="22.109375" style="58" bestFit="1" customWidth="1"/>
    <col min="2" max="2" width="15.5546875" style="58" customWidth="1"/>
    <col min="3" max="3" width="23.77734375" style="108" customWidth="1"/>
    <col min="4" max="4" width="27.6640625" style="15" customWidth="1"/>
    <col min="6" max="6" width="18.109375" customWidth="1"/>
    <col min="7" max="11" width="10.109375" bestFit="1" customWidth="1"/>
    <col min="13" max="13" width="18.109375" customWidth="1"/>
    <col min="14" max="14" width="21.109375" bestFit="1" customWidth="1"/>
    <col min="15" max="16" width="46.109375" bestFit="1" customWidth="1"/>
    <col min="17" max="17" width="12.109375" bestFit="1" customWidth="1"/>
    <col min="18" max="18" width="18.77734375" bestFit="1" customWidth="1"/>
    <col min="19" max="19" width="25" bestFit="1" customWidth="1"/>
    <col min="20" max="20" width="18.109375" bestFit="1" customWidth="1"/>
  </cols>
  <sheetData>
    <row r="1" spans="1:16" s="107" customFormat="1" ht="25.8" thickBot="1" x14ac:dyDescent="0.35">
      <c r="A1" s="113" t="s">
        <v>616</v>
      </c>
      <c r="B1" s="113" t="s">
        <v>618</v>
      </c>
      <c r="C1" s="113" t="s">
        <v>803</v>
      </c>
      <c r="D1" s="113" t="s">
        <v>804</v>
      </c>
      <c r="P1" s="114"/>
    </row>
    <row r="2" spans="1:16" ht="25.8" thickBot="1" x14ac:dyDescent="0.35">
      <c r="A2" s="115" t="s">
        <v>646</v>
      </c>
      <c r="B2" s="115" t="s">
        <v>648</v>
      </c>
      <c r="C2" s="117" t="str" cm="1">
        <f t="array" aca="1" ref="C2" ca="1">_xlfn.XLOOKUP(Tableau16[[#This Row],[Bloc de critères]] &amp; Tableau16[[#This Row],[Rubrique]], INDIRECT($O$3&amp;"!A:A") &amp; INDIRECT($O$3&amp;"!B:B"), INDIRECT($O$3&amp;"!F:F"))</f>
        <v>Non appliqué</v>
      </c>
      <c r="D2" s="116" cm="1">
        <f t="array" aca="1" ref="D2" ca="1">_xlfn.XLOOKUP(Tableau16[[#This Row],[Bloc de critères]] &amp; Tableau16[[#This Row],[Rubrique]], INDIRECT($O$3&amp;"!A:A") &amp; INDIRECT($O$3&amp;"!B:B"), INDIRECT($O$3&amp;"!J:J"))</f>
        <v>0</v>
      </c>
      <c r="G2" s="79" t="s">
        <v>805</v>
      </c>
      <c r="H2" s="79" t="s">
        <v>806</v>
      </c>
      <c r="I2" s="79" t="s">
        <v>807</v>
      </c>
      <c r="J2" s="79" t="s">
        <v>808</v>
      </c>
      <c r="K2" s="79" t="s">
        <v>809</v>
      </c>
      <c r="P2" s="15"/>
    </row>
    <row r="3" spans="1:16" ht="25.8" thickBot="1" x14ac:dyDescent="0.35">
      <c r="A3" s="115" t="s">
        <v>646</v>
      </c>
      <c r="B3" s="115" t="s">
        <v>652</v>
      </c>
      <c r="C3" s="117" cm="1">
        <f t="array" aca="1" ref="C3" ca="1">_xlfn.XLOOKUP(Tableau16[[#This Row],[Bloc de critères]] &amp; Tableau16[[#This Row],[Rubrique]], INDIRECT($O$3&amp;"!A:A") &amp; INDIRECT($O$3&amp;"!B:B"), INDIRECT($O$3&amp;"!F:F"))</f>
        <v>0</v>
      </c>
      <c r="D3" s="116" cm="1">
        <f t="array" aca="1" ref="D3" ca="1">_xlfn.XLOOKUP(Tableau16[[#This Row],[Bloc de critères]] &amp; Tableau16[[#This Row],[Rubrique]], INDIRECT($O$3&amp;"!A:A") &amp; INDIRECT($O$3&amp;"!B:B"), INDIRECT($O$3&amp;"!J:J"))</f>
        <v>0</v>
      </c>
      <c r="G3" s="79" t="s">
        <v>37</v>
      </c>
      <c r="H3" s="79" t="s">
        <v>38</v>
      </c>
      <c r="I3" s="79" t="s">
        <v>39</v>
      </c>
      <c r="J3" s="79" t="s">
        <v>40</v>
      </c>
      <c r="K3" s="79" t="s">
        <v>41</v>
      </c>
      <c r="M3" s="79" t="s">
        <v>810</v>
      </c>
      <c r="N3" s="80" t="str">
        <f>J3</f>
        <v>Hôtel 2 étoiles</v>
      </c>
      <c r="O3" t="str">
        <f>INDEX(G2:K2,MATCH(N3,G3:K3,0))</f>
        <v>grille_ht2</v>
      </c>
      <c r="P3" s="15"/>
    </row>
    <row r="4" spans="1:16" ht="38.4" thickBot="1" x14ac:dyDescent="0.35">
      <c r="A4" s="115" t="s">
        <v>653</v>
      </c>
      <c r="B4" s="115" t="s">
        <v>654</v>
      </c>
      <c r="C4" s="117" t="str" cm="1">
        <f t="array" aca="1" ref="C4" ca="1">_xlfn.XLOOKUP(Tableau16[[#This Row],[Bloc de critères]] &amp; Tableau16[[#This Row],[Rubrique]], INDIRECT($O$3&amp;"!A:A") &amp; INDIRECT($O$3&amp;"!B:B"), INDIRECT($O$3&amp;"!F:F"))</f>
        <v>Non appliqué</v>
      </c>
      <c r="D4" s="116" t="str" cm="1">
        <f t="array" aca="1" ref="D4" ca="1">_xlfn.XLOOKUP(Tableau16[[#This Row],[Bloc de critères]] &amp; Tableau16[[#This Row],[Rubrique]], INDIRECT($O$3&amp;"!A:A") &amp; INDIRECT($O$3&amp;"!B:B"), INDIRECT($O$3&amp;"!J:J"))</f>
        <v>Non appliqué</v>
      </c>
      <c r="G4">
        <v>5</v>
      </c>
      <c r="H4">
        <v>4</v>
      </c>
      <c r="I4">
        <v>3</v>
      </c>
      <c r="J4">
        <v>2</v>
      </c>
      <c r="K4">
        <v>1</v>
      </c>
      <c r="M4" s="79" t="s">
        <v>811</v>
      </c>
      <c r="N4" s="80">
        <f ca="1">_xlfn.XLOOKUP(N3,G3:K3,G5:K5)</f>
        <v>0</v>
      </c>
      <c r="P4" s="15"/>
    </row>
    <row r="5" spans="1:16" ht="38.4" thickBot="1" x14ac:dyDescent="0.35">
      <c r="A5" s="115" t="s">
        <v>653</v>
      </c>
      <c r="B5" s="115" t="s">
        <v>657</v>
      </c>
      <c r="C5" s="117" t="str" cm="1">
        <f t="array" aca="1" ref="C5" ca="1">_xlfn.XLOOKUP(Tableau16[[#This Row],[Bloc de critères]] &amp; Tableau16[[#This Row],[Rubrique]], INDIRECT($O$3&amp;"!A:A") &amp; INDIRECT($O$3&amp;"!B:B"), INDIRECT($O$3&amp;"!F:F"))</f>
        <v>Non appliqué</v>
      </c>
      <c r="D5" s="116" t="str" cm="1">
        <f t="array" aca="1" ref="D5" ca="1">_xlfn.XLOOKUP(Tableau16[[#This Row],[Bloc de critères]] &amp; Tableau16[[#This Row],[Rubrique]], INDIRECT($O$3&amp;"!A:A") &amp; INDIRECT($O$3&amp;"!B:B"), INDIRECT($O$3&amp;"!J:J"))</f>
        <v>Non appliqué</v>
      </c>
      <c r="F5" s="79" t="s">
        <v>812</v>
      </c>
      <c r="G5" s="81">
        <f ca="1">SUM(Grille_HT5!U2:U91)</f>
        <v>0</v>
      </c>
      <c r="H5" s="81">
        <f ca="1">SUM(Grille_HT4!U2:U91)</f>
        <v>0</v>
      </c>
      <c r="I5" s="81">
        <f ca="1">SUM(Grille_HT3!U2:U91)</f>
        <v>0</v>
      </c>
      <c r="J5" s="81">
        <f ca="1">SUM(Grille_HT2!U2:U91)</f>
        <v>0</v>
      </c>
      <c r="K5" s="81">
        <f ca="1">SUM(Grille_HT1!U2:U91)</f>
        <v>0</v>
      </c>
      <c r="M5" s="79" t="s">
        <v>813</v>
      </c>
      <c r="N5" s="80">
        <f ca="1">_xlfn.XLOOKUP(N3,G3:K3,G6:K6)</f>
        <v>0</v>
      </c>
    </row>
    <row r="6" spans="1:16" ht="38.4" thickBot="1" x14ac:dyDescent="0.35">
      <c r="A6" s="115" t="s">
        <v>653</v>
      </c>
      <c r="B6" s="115" t="s">
        <v>658</v>
      </c>
      <c r="C6" s="117" cm="1">
        <f t="array" aca="1" ref="C6" ca="1">_xlfn.XLOOKUP(Tableau16[[#This Row],[Bloc de critères]] &amp; Tableau16[[#This Row],[Rubrique]], INDIRECT($O$3&amp;"!A:A") &amp; INDIRECT($O$3&amp;"!B:B"), INDIRECT($O$3&amp;"!F:F"))</f>
        <v>0</v>
      </c>
      <c r="D6" s="116" t="str" cm="1">
        <f t="array" aca="1" ref="D6" ca="1">_xlfn.XLOOKUP(Tableau16[[#This Row],[Bloc de critères]] &amp; Tableau16[[#This Row],[Rubrique]], INDIRECT($O$3&amp;"!A:A") &amp; INDIRECT($O$3&amp;"!B:B"), INDIRECT($O$3&amp;"!J:J"))</f>
        <v>Non appliqué</v>
      </c>
      <c r="F6" s="79" t="s">
        <v>814</v>
      </c>
      <c r="G6" s="81">
        <f ca="1">SUM(Grille_HT5!X2:X91)</f>
        <v>0</v>
      </c>
      <c r="H6" s="81">
        <f ca="1">SUM(Grille_HT4!X2:X91)</f>
        <v>0</v>
      </c>
      <c r="I6" s="81">
        <f ca="1">SUM(Grille_HT3!X2:X91)</f>
        <v>0</v>
      </c>
      <c r="J6" s="81">
        <f ca="1">SUM(Grille_HT2!X2:X91)</f>
        <v>0</v>
      </c>
      <c r="K6" s="81">
        <f ca="1">SUM(Grille_HT1!X2:X91)</f>
        <v>0</v>
      </c>
      <c r="O6" s="15"/>
    </row>
    <row r="7" spans="1:16" ht="15" thickBot="1" x14ac:dyDescent="0.35">
      <c r="A7" s="115" t="s">
        <v>659</v>
      </c>
      <c r="B7" s="115" t="s">
        <v>661</v>
      </c>
      <c r="C7" s="117" cm="1">
        <f t="array" aca="1" ref="C7" ca="1">_xlfn.XLOOKUP(Tableau16[[#This Row],[Bloc de critères]] &amp; Tableau16[[#This Row],[Rubrique]], INDIRECT($O$3&amp;"!A:A") &amp; INDIRECT($O$3&amp;"!B:B"), INDIRECT($O$3&amp;"!F:F"))</f>
        <v>0</v>
      </c>
      <c r="D7" s="116" cm="1">
        <f t="array" aca="1" ref="D7" ca="1">_xlfn.XLOOKUP(Tableau16[[#This Row],[Bloc de critères]] &amp; Tableau16[[#This Row],[Rubrique]], INDIRECT($O$3&amp;"!A:A") &amp; INDIRECT($O$3&amp;"!B:B"), INDIRECT($O$3&amp;"!J:J"))</f>
        <v>0</v>
      </c>
      <c r="F7" s="79" t="s">
        <v>815</v>
      </c>
      <c r="G7" s="81">
        <f ca="1">AVERAGE(G5:G6)</f>
        <v>0</v>
      </c>
      <c r="H7" s="81">
        <f t="shared" ref="H7:K7" ca="1" si="0">AVERAGE(H5:H6)</f>
        <v>0</v>
      </c>
      <c r="I7" s="81">
        <f t="shared" ca="1" si="0"/>
        <v>0</v>
      </c>
      <c r="J7" s="81">
        <f t="shared" ca="1" si="0"/>
        <v>0</v>
      </c>
      <c r="K7" s="81">
        <f t="shared" ca="1" si="0"/>
        <v>0</v>
      </c>
    </row>
    <row r="8" spans="1:16" ht="22.8" x14ac:dyDescent="0.3">
      <c r="A8" s="115" t="s">
        <v>659</v>
      </c>
      <c r="B8" s="115" t="s">
        <v>662</v>
      </c>
      <c r="C8" s="117" cm="1">
        <f t="array" aca="1" ref="C8" ca="1">_xlfn.XLOOKUP(Tableau16[[#This Row],[Bloc de critères]] &amp; Tableau16[[#This Row],[Rubrique]], INDIRECT($O$3&amp;"!A:A") &amp; INDIRECT($O$3&amp;"!B:B"), INDIRECT($O$3&amp;"!F:F"))</f>
        <v>0</v>
      </c>
      <c r="D8" s="116" cm="1">
        <f t="array" aca="1" ref="D8" ca="1">_xlfn.XLOOKUP(Tableau16[[#This Row],[Bloc de critères]] &amp; Tableau16[[#This Row],[Rubrique]], INDIRECT($O$3&amp;"!A:A") &amp; INDIRECT($O$3&amp;"!B:B"), INDIRECT($O$3&amp;"!J:J"))</f>
        <v>0</v>
      </c>
    </row>
    <row r="9" spans="1:16" x14ac:dyDescent="0.3">
      <c r="A9" s="115" t="s">
        <v>659</v>
      </c>
      <c r="B9" s="115" t="s">
        <v>664</v>
      </c>
      <c r="C9" s="117" cm="1">
        <f t="array" aca="1" ref="C9" ca="1">_xlfn.XLOOKUP(Tableau16[[#This Row],[Bloc de critères]] &amp; Tableau16[[#This Row],[Rubrique]], INDIRECT($O$3&amp;"!A:A") &amp; INDIRECT($O$3&amp;"!B:B"), INDIRECT($O$3&amp;"!F:F"))</f>
        <v>0</v>
      </c>
      <c r="D9" s="116" cm="1">
        <f t="array" aca="1" ref="D9" ca="1">_xlfn.XLOOKUP(Tableau16[[#This Row],[Bloc de critères]] &amp; Tableau16[[#This Row],[Rubrique]], INDIRECT($O$3&amp;"!A:A") &amp; INDIRECT($O$3&amp;"!B:B"), INDIRECT($O$3&amp;"!J:J"))</f>
        <v>0</v>
      </c>
    </row>
    <row r="10" spans="1:16" x14ac:dyDescent="0.3">
      <c r="A10" s="115" t="s">
        <v>659</v>
      </c>
      <c r="B10" s="115" t="s">
        <v>667</v>
      </c>
      <c r="C10" s="117" t="str" cm="1">
        <f t="array" aca="1" ref="C10" ca="1">_xlfn.XLOOKUP(Tableau16[[#This Row],[Bloc de critères]] &amp; Tableau16[[#This Row],[Rubrique]], INDIRECT($O$3&amp;"!A:A") &amp; INDIRECT($O$3&amp;"!B:B"), INDIRECT($O$3&amp;"!F:F"))</f>
        <v>Non appliqué</v>
      </c>
      <c r="D10" s="116" t="str" cm="1">
        <f t="array" aca="1" ref="D10" ca="1">_xlfn.XLOOKUP(Tableau16[[#This Row],[Bloc de critères]] &amp; Tableau16[[#This Row],[Rubrique]], INDIRECT($O$3&amp;"!A:A") &amp; INDIRECT($O$3&amp;"!B:B"), INDIRECT($O$3&amp;"!J:J"))</f>
        <v>Non appliqué</v>
      </c>
    </row>
    <row r="11" spans="1:16" x14ac:dyDescent="0.3">
      <c r="A11" s="115" t="s">
        <v>659</v>
      </c>
      <c r="B11" s="115" t="s">
        <v>668</v>
      </c>
      <c r="C11" s="117" t="str" cm="1">
        <f t="array" aca="1" ref="C11" ca="1">_xlfn.XLOOKUP(Tableau16[[#This Row],[Bloc de critères]] &amp; Tableau16[[#This Row],[Rubrique]], INDIRECT($O$3&amp;"!A:A") &amp; INDIRECT($O$3&amp;"!B:B"), INDIRECT($O$3&amp;"!F:F"))</f>
        <v>Non appliqué</v>
      </c>
      <c r="D11" s="116" cm="1">
        <f t="array" aca="1" ref="D11" ca="1">_xlfn.XLOOKUP(Tableau16[[#This Row],[Bloc de critères]] &amp; Tableau16[[#This Row],[Rubrique]], INDIRECT($O$3&amp;"!A:A") &amp; INDIRECT($O$3&amp;"!B:B"), INDIRECT($O$3&amp;"!J:J"))</f>
        <v>0</v>
      </c>
    </row>
    <row r="12" spans="1:16" x14ac:dyDescent="0.3">
      <c r="A12" s="115" t="s">
        <v>669</v>
      </c>
      <c r="B12" s="115" t="s">
        <v>671</v>
      </c>
      <c r="C12" s="117" cm="1">
        <f t="array" aca="1" ref="C12" ca="1">_xlfn.XLOOKUP(Tableau16[[#This Row],[Bloc de critères]] &amp; Tableau16[[#This Row],[Rubrique]], INDIRECT($O$3&amp;"!A:A") &amp; INDIRECT($O$3&amp;"!B:B"), INDIRECT($O$3&amp;"!F:F"))</f>
        <v>0</v>
      </c>
      <c r="D12" s="116" cm="1">
        <f t="array" aca="1" ref="D12" ca="1">_xlfn.XLOOKUP(Tableau16[[#This Row],[Bloc de critères]] &amp; Tableau16[[#This Row],[Rubrique]], INDIRECT($O$3&amp;"!A:A") &amp; INDIRECT($O$3&amp;"!B:B"), INDIRECT($O$3&amp;"!J:J"))</f>
        <v>0</v>
      </c>
    </row>
    <row r="13" spans="1:16" ht="22.8" x14ac:dyDescent="0.3">
      <c r="A13" s="115" t="s">
        <v>669</v>
      </c>
      <c r="B13" s="115" t="s">
        <v>673</v>
      </c>
      <c r="C13" s="117" cm="1">
        <f t="array" aca="1" ref="C13" ca="1">_xlfn.XLOOKUP(Tableau16[[#This Row],[Bloc de critères]] &amp; Tableau16[[#This Row],[Rubrique]], INDIRECT($O$3&amp;"!A:A") &amp; INDIRECT($O$3&amp;"!B:B"), INDIRECT($O$3&amp;"!F:F"))</f>
        <v>0</v>
      </c>
      <c r="D13" s="116" cm="1">
        <f t="array" aca="1" ref="D13" ca="1">_xlfn.XLOOKUP(Tableau16[[#This Row],[Bloc de critères]] &amp; Tableau16[[#This Row],[Rubrique]], INDIRECT($O$3&amp;"!A:A") &amp; INDIRECT($O$3&amp;"!B:B"), INDIRECT($O$3&amp;"!J:J"))</f>
        <v>0</v>
      </c>
    </row>
    <row r="14" spans="1:16" x14ac:dyDescent="0.3">
      <c r="A14" s="115" t="s">
        <v>669</v>
      </c>
      <c r="B14" s="115" t="s">
        <v>675</v>
      </c>
      <c r="C14" s="117" cm="1">
        <f t="array" aca="1" ref="C14" ca="1">_xlfn.XLOOKUP(Tableau16[[#This Row],[Bloc de critères]] &amp; Tableau16[[#This Row],[Rubrique]], INDIRECT($O$3&amp;"!A:A") &amp; INDIRECT($O$3&amp;"!B:B"), INDIRECT($O$3&amp;"!F:F"))</f>
        <v>0</v>
      </c>
      <c r="D14" s="116" cm="1">
        <f t="array" aca="1" ref="D14" ca="1">_xlfn.XLOOKUP(Tableau16[[#This Row],[Bloc de critères]] &amp; Tableau16[[#This Row],[Rubrique]], INDIRECT($O$3&amp;"!A:A") &amp; INDIRECT($O$3&amp;"!B:B"), INDIRECT($O$3&amp;"!J:J"))</f>
        <v>0</v>
      </c>
    </row>
    <row r="15" spans="1:16" ht="22.8" x14ac:dyDescent="0.3">
      <c r="A15" s="115" t="s">
        <v>676</v>
      </c>
      <c r="B15" s="115" t="s">
        <v>677</v>
      </c>
      <c r="C15" s="117" cm="1">
        <f t="array" aca="1" ref="C15" ca="1">_xlfn.XLOOKUP(Tableau16[[#This Row],[Bloc de critères]] &amp; Tableau16[[#This Row],[Rubrique]], INDIRECT($O$3&amp;"!A:A") &amp; INDIRECT($O$3&amp;"!B:B"), INDIRECT($O$3&amp;"!F:F"))</f>
        <v>0</v>
      </c>
      <c r="D15" s="116" cm="1">
        <f t="array" aca="1" ref="D15" ca="1">_xlfn.XLOOKUP(Tableau16[[#This Row],[Bloc de critères]] &amp; Tableau16[[#This Row],[Rubrique]], INDIRECT($O$3&amp;"!A:A") &amp; INDIRECT($O$3&amp;"!B:B"), INDIRECT($O$3&amp;"!J:J"))</f>
        <v>0</v>
      </c>
    </row>
    <row r="16" spans="1:16" x14ac:dyDescent="0.3">
      <c r="A16" s="115" t="s">
        <v>676</v>
      </c>
      <c r="B16" s="115" t="s">
        <v>678</v>
      </c>
      <c r="C16" s="117" t="str" cm="1">
        <f t="array" aca="1" ref="C16" ca="1">_xlfn.XLOOKUP(Tableau16[[#This Row],[Bloc de critères]] &amp; Tableau16[[#This Row],[Rubrique]], INDIRECT($O$3&amp;"!A:A") &amp; INDIRECT($O$3&amp;"!B:B"), INDIRECT($O$3&amp;"!F:F"))</f>
        <v>Non appliqué</v>
      </c>
      <c r="D16" s="116" cm="1">
        <f t="array" aca="1" ref="D16" ca="1">_xlfn.XLOOKUP(Tableau16[[#This Row],[Bloc de critères]] &amp; Tableau16[[#This Row],[Rubrique]], INDIRECT($O$3&amp;"!A:A") &amp; INDIRECT($O$3&amp;"!B:B"), INDIRECT($O$3&amp;"!J:J"))</f>
        <v>0</v>
      </c>
    </row>
    <row r="17" spans="1:4" x14ac:dyDescent="0.3">
      <c r="A17" s="115" t="s">
        <v>680</v>
      </c>
      <c r="B17" s="115" t="s">
        <v>682</v>
      </c>
      <c r="C17" s="117" cm="1">
        <f t="array" aca="1" ref="C17" ca="1">_xlfn.XLOOKUP(Tableau16[[#This Row],[Bloc de critères]] &amp; Tableau16[[#This Row],[Rubrique]], INDIRECT($O$3&amp;"!A:A") &amp; INDIRECT($O$3&amp;"!B:B"), INDIRECT($O$3&amp;"!F:F"))</f>
        <v>0</v>
      </c>
      <c r="D17" s="116" cm="1">
        <f t="array" aca="1" ref="D17" ca="1">_xlfn.XLOOKUP(Tableau16[[#This Row],[Bloc de critères]] &amp; Tableau16[[#This Row],[Rubrique]], INDIRECT($O$3&amp;"!A:A") &amp; INDIRECT($O$3&amp;"!B:B"), INDIRECT($O$3&amp;"!J:J"))</f>
        <v>0</v>
      </c>
    </row>
    <row r="18" spans="1:4" ht="22.8" x14ac:dyDescent="0.3">
      <c r="A18" s="115" t="s">
        <v>680</v>
      </c>
      <c r="B18" s="115" t="s">
        <v>685</v>
      </c>
      <c r="C18" s="117" cm="1">
        <f t="array" aca="1" ref="C18" ca="1">_xlfn.XLOOKUP(Tableau16[[#This Row],[Bloc de critères]] &amp; Tableau16[[#This Row],[Rubrique]], INDIRECT($O$3&amp;"!A:A") &amp; INDIRECT($O$3&amp;"!B:B"), INDIRECT($O$3&amp;"!F:F"))</f>
        <v>0</v>
      </c>
      <c r="D18" s="116" t="str" cm="1">
        <f t="array" aca="1" ref="D18" ca="1">_xlfn.XLOOKUP(Tableau16[[#This Row],[Bloc de critères]] &amp; Tableau16[[#This Row],[Rubrique]], INDIRECT($O$3&amp;"!A:A") &amp; INDIRECT($O$3&amp;"!B:B"), INDIRECT($O$3&amp;"!J:J"))</f>
        <v>Non appliqué</v>
      </c>
    </row>
    <row r="19" spans="1:4" x14ac:dyDescent="0.3">
      <c r="A19" s="115" t="s">
        <v>686</v>
      </c>
      <c r="B19" s="115" t="s">
        <v>682</v>
      </c>
      <c r="C19" s="117" cm="1">
        <f t="array" aca="1" ref="C19" ca="1">_xlfn.XLOOKUP(Tableau16[[#This Row],[Bloc de critères]] &amp; Tableau16[[#This Row],[Rubrique]], INDIRECT($O$3&amp;"!A:A") &amp; INDIRECT($O$3&amp;"!B:B"), INDIRECT($O$3&amp;"!F:F"))</f>
        <v>0</v>
      </c>
      <c r="D19" s="116" cm="1">
        <f t="array" aca="1" ref="D19" ca="1">_xlfn.XLOOKUP(Tableau16[[#This Row],[Bloc de critères]] &amp; Tableau16[[#This Row],[Rubrique]], INDIRECT($O$3&amp;"!A:A") &amp; INDIRECT($O$3&amp;"!B:B"), INDIRECT($O$3&amp;"!J:J"))</f>
        <v>0</v>
      </c>
    </row>
    <row r="20" spans="1:4" ht="22.8" x14ac:dyDescent="0.3">
      <c r="A20" s="115" t="s">
        <v>686</v>
      </c>
      <c r="B20" s="115" t="s">
        <v>685</v>
      </c>
      <c r="C20" s="117" cm="1">
        <f t="array" aca="1" ref="C20" ca="1">_xlfn.XLOOKUP(Tableau16[[#This Row],[Bloc de critères]] &amp; Tableau16[[#This Row],[Rubrique]], INDIRECT($O$3&amp;"!A:A") &amp; INDIRECT($O$3&amp;"!B:B"), INDIRECT($O$3&amp;"!F:F"))</f>
        <v>0</v>
      </c>
      <c r="D20" s="116" cm="1">
        <f t="array" aca="1" ref="D20" ca="1">_xlfn.XLOOKUP(Tableau16[[#This Row],[Bloc de critères]] &amp; Tableau16[[#This Row],[Rubrique]], INDIRECT($O$3&amp;"!A:A") &amp; INDIRECT($O$3&amp;"!B:B"), INDIRECT($O$3&amp;"!J:J"))</f>
        <v>0</v>
      </c>
    </row>
    <row r="21" spans="1:4" ht="22.8" x14ac:dyDescent="0.3">
      <c r="A21" s="115" t="s">
        <v>692</v>
      </c>
      <c r="B21" s="115" t="s">
        <v>682</v>
      </c>
      <c r="C21" s="117" t="str" cm="1">
        <f t="array" aca="1" ref="C21" ca="1">_xlfn.XLOOKUP(Tableau16[[#This Row],[Bloc de critères]] &amp; Tableau16[[#This Row],[Rubrique]], INDIRECT($O$3&amp;"!A:A") &amp; INDIRECT($O$3&amp;"!B:B"), INDIRECT($O$3&amp;"!F:F"))</f>
        <v>Non appliqué</v>
      </c>
      <c r="D21" s="116" t="str" cm="1">
        <f t="array" aca="1" ref="D21" ca="1">_xlfn.XLOOKUP(Tableau16[[#This Row],[Bloc de critères]] &amp; Tableau16[[#This Row],[Rubrique]], INDIRECT($O$3&amp;"!A:A") &amp; INDIRECT($O$3&amp;"!B:B"), INDIRECT($O$3&amp;"!J:J"))</f>
        <v>Non appliqué</v>
      </c>
    </row>
    <row r="22" spans="1:4" ht="22.8" x14ac:dyDescent="0.3">
      <c r="A22" s="115" t="s">
        <v>692</v>
      </c>
      <c r="B22" s="115" t="s">
        <v>685</v>
      </c>
      <c r="C22" s="117" t="str" cm="1">
        <f t="array" aca="1" ref="C22" ca="1">_xlfn.XLOOKUP(Tableau16[[#This Row],[Bloc de critères]] &amp; Tableau16[[#This Row],[Rubrique]], INDIRECT($O$3&amp;"!A:A") &amp; INDIRECT($O$3&amp;"!B:B"), INDIRECT($O$3&amp;"!F:F"))</f>
        <v>Non appliqué</v>
      </c>
      <c r="D22" s="116" t="str" cm="1">
        <f t="array" aca="1" ref="D22" ca="1">_xlfn.XLOOKUP(Tableau16[[#This Row],[Bloc de critères]] &amp; Tableau16[[#This Row],[Rubrique]], INDIRECT($O$3&amp;"!A:A") &amp; INDIRECT($O$3&amp;"!B:B"), INDIRECT($O$3&amp;"!J:J"))</f>
        <v>Non appliqué</v>
      </c>
    </row>
    <row r="23" spans="1:4" x14ac:dyDescent="0.3">
      <c r="A23" s="115" t="s">
        <v>694</v>
      </c>
      <c r="B23" s="115" t="s">
        <v>682</v>
      </c>
      <c r="C23" s="117" t="str" cm="1">
        <f t="array" aca="1" ref="C23" ca="1">_xlfn.XLOOKUP(Tableau16[[#This Row],[Bloc de critères]] &amp; Tableau16[[#This Row],[Rubrique]], INDIRECT($O$3&amp;"!A:A") &amp; INDIRECT($O$3&amp;"!B:B"), INDIRECT($O$3&amp;"!F:F"))</f>
        <v>Non appliqué</v>
      </c>
      <c r="D23" s="116" t="str" cm="1">
        <f t="array" aca="1" ref="D23" ca="1">_xlfn.XLOOKUP(Tableau16[[#This Row],[Bloc de critères]] &amp; Tableau16[[#This Row],[Rubrique]], INDIRECT($O$3&amp;"!A:A") &amp; INDIRECT($O$3&amp;"!B:B"), INDIRECT($O$3&amp;"!J:J"))</f>
        <v>Non appliqué</v>
      </c>
    </row>
    <row r="24" spans="1:4" ht="22.8" x14ac:dyDescent="0.3">
      <c r="A24" s="115" t="s">
        <v>694</v>
      </c>
      <c r="B24" s="115" t="s">
        <v>685</v>
      </c>
      <c r="C24" s="117" t="str" cm="1">
        <f t="array" aca="1" ref="C24" ca="1">_xlfn.XLOOKUP(Tableau16[[#This Row],[Bloc de critères]] &amp; Tableau16[[#This Row],[Rubrique]], INDIRECT($O$3&amp;"!A:A") &amp; INDIRECT($O$3&amp;"!B:B"), INDIRECT($O$3&amp;"!F:F"))</f>
        <v>Non appliqué</v>
      </c>
      <c r="D24" s="116" t="str" cm="1">
        <f t="array" aca="1" ref="D24" ca="1">_xlfn.XLOOKUP(Tableau16[[#This Row],[Bloc de critères]] &amp; Tableau16[[#This Row],[Rubrique]], INDIRECT($O$3&amp;"!A:A") &amp; INDIRECT($O$3&amp;"!B:B"), INDIRECT($O$3&amp;"!J:J"))</f>
        <v>Non appliqué</v>
      </c>
    </row>
    <row r="25" spans="1:4" ht="34.200000000000003" x14ac:dyDescent="0.3">
      <c r="A25" s="115" t="s">
        <v>699</v>
      </c>
      <c r="B25" s="115" t="s">
        <v>701</v>
      </c>
      <c r="C25" s="117" t="str" cm="1">
        <f t="array" aca="1" ref="C25" ca="1">_xlfn.XLOOKUP(Tableau16[[#This Row],[Bloc de critères]] &amp; Tableau16[[#This Row],[Rubrique]], INDIRECT($O$3&amp;"!A:A") &amp; INDIRECT($O$3&amp;"!B:B"), INDIRECT($O$3&amp;"!F:F"))</f>
        <v>Non appliqué</v>
      </c>
      <c r="D25" s="116" t="str" cm="1">
        <f t="array" aca="1" ref="D25" ca="1">_xlfn.XLOOKUP(Tableau16[[#This Row],[Bloc de critères]] &amp; Tableau16[[#This Row],[Rubrique]], INDIRECT($O$3&amp;"!A:A") &amp; INDIRECT($O$3&amp;"!B:B"), INDIRECT($O$3&amp;"!J:J"))</f>
        <v>Non appliqué</v>
      </c>
    </row>
    <row r="26" spans="1:4" ht="34.200000000000003" x14ac:dyDescent="0.3">
      <c r="A26" s="115" t="s">
        <v>699</v>
      </c>
      <c r="B26" s="115" t="s">
        <v>702</v>
      </c>
      <c r="C26" s="117" t="str" cm="1">
        <f t="array" aca="1" ref="C26" ca="1">_xlfn.XLOOKUP(Tableau16[[#This Row],[Bloc de critères]] &amp; Tableau16[[#This Row],[Rubrique]], INDIRECT($O$3&amp;"!A:A") &amp; INDIRECT($O$3&amp;"!B:B"), INDIRECT($O$3&amp;"!F:F"))</f>
        <v>Non appliqué</v>
      </c>
      <c r="D26" s="116" t="str" cm="1">
        <f t="array" aca="1" ref="D26" ca="1">_xlfn.XLOOKUP(Tableau16[[#This Row],[Bloc de critères]] &amp; Tableau16[[#This Row],[Rubrique]], INDIRECT($O$3&amp;"!A:A") &amp; INDIRECT($O$3&amp;"!B:B"), INDIRECT($O$3&amp;"!J:J"))</f>
        <v>Non appliqué</v>
      </c>
    </row>
    <row r="27" spans="1:4" ht="34.200000000000003" x14ac:dyDescent="0.3">
      <c r="A27" s="115" t="s">
        <v>699</v>
      </c>
      <c r="B27" s="115" t="s">
        <v>703</v>
      </c>
      <c r="C27" s="117" t="str" cm="1">
        <f t="array" aca="1" ref="C27" ca="1">_xlfn.XLOOKUP(Tableau16[[#This Row],[Bloc de critères]] &amp; Tableau16[[#This Row],[Rubrique]], INDIRECT($O$3&amp;"!A:A") &amp; INDIRECT($O$3&amp;"!B:B"), INDIRECT($O$3&amp;"!F:F"))</f>
        <v>Non appliqué</v>
      </c>
      <c r="D27" s="116" t="str" cm="1">
        <f t="array" aca="1" ref="D27" ca="1">_xlfn.XLOOKUP(Tableau16[[#This Row],[Bloc de critères]] &amp; Tableau16[[#This Row],[Rubrique]], INDIRECT($O$3&amp;"!A:A") &amp; INDIRECT($O$3&amp;"!B:B"), INDIRECT($O$3&amp;"!J:J"))</f>
        <v>Non appliqué</v>
      </c>
    </row>
    <row r="28" spans="1:4" ht="22.8" x14ac:dyDescent="0.3">
      <c r="A28" s="115" t="s">
        <v>704</v>
      </c>
      <c r="B28" s="115" t="s">
        <v>706</v>
      </c>
      <c r="C28" s="117" t="str" cm="1">
        <f t="array" aca="1" ref="C28" ca="1">_xlfn.XLOOKUP(Tableau16[[#This Row],[Bloc de critères]] &amp; Tableau16[[#This Row],[Rubrique]], INDIRECT($O$3&amp;"!A:A") &amp; INDIRECT($O$3&amp;"!B:B"), INDIRECT($O$3&amp;"!F:F"))</f>
        <v>Non appliqué</v>
      </c>
      <c r="D28" s="116" t="str" cm="1">
        <f t="array" aca="1" ref="D28" ca="1">_xlfn.XLOOKUP(Tableau16[[#This Row],[Bloc de critères]] &amp; Tableau16[[#This Row],[Rubrique]], INDIRECT($O$3&amp;"!A:A") &amp; INDIRECT($O$3&amp;"!B:B"), INDIRECT($O$3&amp;"!J:J"))</f>
        <v>Non appliqué</v>
      </c>
    </row>
    <row r="29" spans="1:4" x14ac:dyDescent="0.3">
      <c r="A29" s="115" t="s">
        <v>704</v>
      </c>
      <c r="B29" s="115" t="s">
        <v>707</v>
      </c>
      <c r="C29" s="117" t="str" cm="1">
        <f t="array" aca="1" ref="C29" ca="1">_xlfn.XLOOKUP(Tableau16[[#This Row],[Bloc de critères]] &amp; Tableau16[[#This Row],[Rubrique]], INDIRECT($O$3&amp;"!A:A") &amp; INDIRECT($O$3&amp;"!B:B"), INDIRECT($O$3&amp;"!F:F"))</f>
        <v>Non appliqué</v>
      </c>
      <c r="D29" s="116" t="str" cm="1">
        <f t="array" aca="1" ref="D29" ca="1">_xlfn.XLOOKUP(Tableau16[[#This Row],[Bloc de critères]] &amp; Tableau16[[#This Row],[Rubrique]], INDIRECT($O$3&amp;"!A:A") &amp; INDIRECT($O$3&amp;"!B:B"), INDIRECT($O$3&amp;"!J:J"))</f>
        <v>Non appliqué</v>
      </c>
    </row>
    <row r="30" spans="1:4" x14ac:dyDescent="0.3">
      <c r="A30" s="115" t="s">
        <v>704</v>
      </c>
      <c r="B30" s="115" t="s">
        <v>709</v>
      </c>
      <c r="C30" s="117" t="str" cm="1">
        <f t="array" aca="1" ref="C30" ca="1">_xlfn.XLOOKUP(Tableau16[[#This Row],[Bloc de critères]] &amp; Tableau16[[#This Row],[Rubrique]], INDIRECT($O$3&amp;"!A:A") &amp; INDIRECT($O$3&amp;"!B:B"), INDIRECT($O$3&amp;"!F:F"))</f>
        <v>Non appliqué</v>
      </c>
      <c r="D30" s="116" t="str" cm="1">
        <f t="array" aca="1" ref="D30" ca="1">_xlfn.XLOOKUP(Tableau16[[#This Row],[Bloc de critères]] &amp; Tableau16[[#This Row],[Rubrique]], INDIRECT($O$3&amp;"!A:A") &amp; INDIRECT($O$3&amp;"!B:B"), INDIRECT($O$3&amp;"!J:J"))</f>
        <v>Non appliqué</v>
      </c>
    </row>
    <row r="31" spans="1:4" x14ac:dyDescent="0.3">
      <c r="A31" s="115" t="s">
        <v>704</v>
      </c>
      <c r="B31" s="115" t="s">
        <v>710</v>
      </c>
      <c r="C31" s="117" t="str" cm="1">
        <f t="array" aca="1" ref="C31" ca="1">_xlfn.XLOOKUP(Tableau16[[#This Row],[Bloc de critères]] &amp; Tableau16[[#This Row],[Rubrique]], INDIRECT($O$3&amp;"!A:A") &amp; INDIRECT($O$3&amp;"!B:B"), INDIRECT($O$3&amp;"!F:F"))</f>
        <v>Non appliqué</v>
      </c>
      <c r="D31" s="116" t="str" cm="1">
        <f t="array" aca="1" ref="D31" ca="1">_xlfn.XLOOKUP(Tableau16[[#This Row],[Bloc de critères]] &amp; Tableau16[[#This Row],[Rubrique]], INDIRECT($O$3&amp;"!A:A") &amp; INDIRECT($O$3&amp;"!B:B"), INDIRECT($O$3&amp;"!J:J"))</f>
        <v>Non appliqué</v>
      </c>
    </row>
    <row r="32" spans="1:4" x14ac:dyDescent="0.3">
      <c r="A32" s="115" t="s">
        <v>704</v>
      </c>
      <c r="B32" s="115" t="s">
        <v>712</v>
      </c>
      <c r="C32" s="117" t="str" cm="1">
        <f t="array" aca="1" ref="C32" ca="1">_xlfn.XLOOKUP(Tableau16[[#This Row],[Bloc de critères]] &amp; Tableau16[[#This Row],[Rubrique]], INDIRECT($O$3&amp;"!A:A") &amp; INDIRECT($O$3&amp;"!B:B"), INDIRECT($O$3&amp;"!F:F"))</f>
        <v>Non appliqué</v>
      </c>
      <c r="D32" s="116" t="str" cm="1">
        <f t="array" aca="1" ref="D32" ca="1">_xlfn.XLOOKUP(Tableau16[[#This Row],[Bloc de critères]] &amp; Tableau16[[#This Row],[Rubrique]], INDIRECT($O$3&amp;"!A:A") &amp; INDIRECT($O$3&amp;"!B:B"), INDIRECT($O$3&amp;"!J:J"))</f>
        <v>Non appliqué</v>
      </c>
    </row>
    <row r="33" spans="1:4" ht="22.8" x14ac:dyDescent="0.3">
      <c r="A33" s="115" t="s">
        <v>704</v>
      </c>
      <c r="B33" s="115" t="s">
        <v>715</v>
      </c>
      <c r="C33" s="117" t="str" cm="1">
        <f t="array" aca="1" ref="C33" ca="1">_xlfn.XLOOKUP(Tableau16[[#This Row],[Bloc de critères]] &amp; Tableau16[[#This Row],[Rubrique]], INDIRECT($O$3&amp;"!A:A") &amp; INDIRECT($O$3&amp;"!B:B"), INDIRECT($O$3&amp;"!F:F"))</f>
        <v>Non appliqué</v>
      </c>
      <c r="D33" s="116" t="str" cm="1">
        <f t="array" aca="1" ref="D33" ca="1">_xlfn.XLOOKUP(Tableau16[[#This Row],[Bloc de critères]] &amp; Tableau16[[#This Row],[Rubrique]], INDIRECT($O$3&amp;"!A:A") &amp; INDIRECT($O$3&amp;"!B:B"), INDIRECT($O$3&amp;"!J:J"))</f>
        <v>Non appliqué</v>
      </c>
    </row>
    <row r="34" spans="1:4" x14ac:dyDescent="0.3">
      <c r="A34" s="115" t="s">
        <v>704</v>
      </c>
      <c r="B34" s="115" t="s">
        <v>717</v>
      </c>
      <c r="C34" s="117" t="str" cm="1">
        <f t="array" aca="1" ref="C34" ca="1">_xlfn.XLOOKUP(Tableau16[[#This Row],[Bloc de critères]] &amp; Tableau16[[#This Row],[Rubrique]], INDIRECT($O$3&amp;"!A:A") &amp; INDIRECT($O$3&amp;"!B:B"), INDIRECT($O$3&amp;"!F:F"))</f>
        <v>Non appliqué</v>
      </c>
      <c r="D34" s="116" t="str" cm="1">
        <f t="array" aca="1" ref="D34" ca="1">_xlfn.XLOOKUP(Tableau16[[#This Row],[Bloc de critères]] &amp; Tableau16[[#This Row],[Rubrique]], INDIRECT($O$3&amp;"!A:A") &amp; INDIRECT($O$3&amp;"!B:B"), INDIRECT($O$3&amp;"!J:J"))</f>
        <v>Non appliqué</v>
      </c>
    </row>
    <row r="35" spans="1:4" ht="22.8" x14ac:dyDescent="0.3">
      <c r="A35" s="115" t="s">
        <v>704</v>
      </c>
      <c r="B35" s="115" t="s">
        <v>718</v>
      </c>
      <c r="C35" s="117" t="str" cm="1">
        <f t="array" aca="1" ref="C35" ca="1">_xlfn.XLOOKUP(Tableau16[[#This Row],[Bloc de critères]] &amp; Tableau16[[#This Row],[Rubrique]], INDIRECT($O$3&amp;"!A:A") &amp; INDIRECT($O$3&amp;"!B:B"), INDIRECT($O$3&amp;"!F:F"))</f>
        <v>Non appliqué</v>
      </c>
      <c r="D35" s="116" t="str" cm="1">
        <f t="array" aca="1" ref="D35" ca="1">_xlfn.XLOOKUP(Tableau16[[#This Row],[Bloc de critères]] &amp; Tableau16[[#This Row],[Rubrique]], INDIRECT($O$3&amp;"!A:A") &amp; INDIRECT($O$3&amp;"!B:B"), INDIRECT($O$3&amp;"!J:J"))</f>
        <v>Non appliqué</v>
      </c>
    </row>
    <row r="36" spans="1:4" x14ac:dyDescent="0.3">
      <c r="A36" s="115" t="s">
        <v>21</v>
      </c>
      <c r="B36" s="115" t="s">
        <v>682</v>
      </c>
      <c r="C36" s="117" t="str" cm="1">
        <f t="array" aca="1" ref="C36" ca="1">_xlfn.XLOOKUP(Tableau16[[#This Row],[Bloc de critères]] &amp; Tableau16[[#This Row],[Rubrique]], INDIRECT($O$3&amp;"!A:A") &amp; INDIRECT($O$3&amp;"!B:B"), INDIRECT($O$3&amp;"!F:F"))</f>
        <v>Non appliqué</v>
      </c>
      <c r="D36" s="116" t="str" cm="1">
        <f t="array" aca="1" ref="D36" ca="1">_xlfn.XLOOKUP(Tableau16[[#This Row],[Bloc de critères]] &amp; Tableau16[[#This Row],[Rubrique]], INDIRECT($O$3&amp;"!A:A") &amp; INDIRECT($O$3&amp;"!B:B"), INDIRECT($O$3&amp;"!J:J"))</f>
        <v>Non appliqué</v>
      </c>
    </row>
    <row r="37" spans="1:4" ht="22.8" x14ac:dyDescent="0.3">
      <c r="A37" s="115" t="s">
        <v>21</v>
      </c>
      <c r="B37" s="115" t="s">
        <v>720</v>
      </c>
      <c r="C37" s="117" t="str" cm="1">
        <f t="array" aca="1" ref="C37" ca="1">_xlfn.XLOOKUP(Tableau16[[#This Row],[Bloc de critères]] &amp; Tableau16[[#This Row],[Rubrique]], INDIRECT($O$3&amp;"!A:A") &amp; INDIRECT($O$3&amp;"!B:B"), INDIRECT($O$3&amp;"!F:F"))</f>
        <v>Non appliqué</v>
      </c>
      <c r="D37" s="116" t="str" cm="1">
        <f t="array" aca="1" ref="D37" ca="1">_xlfn.XLOOKUP(Tableau16[[#This Row],[Bloc de critères]] &amp; Tableau16[[#This Row],[Rubrique]], INDIRECT($O$3&amp;"!A:A") &amp; INDIRECT($O$3&amp;"!B:B"), INDIRECT($O$3&amp;"!J:J"))</f>
        <v>Non appliqué</v>
      </c>
    </row>
    <row r="38" spans="1:4" ht="22.8" x14ac:dyDescent="0.3">
      <c r="A38" s="115" t="s">
        <v>21</v>
      </c>
      <c r="B38" s="115" t="s">
        <v>722</v>
      </c>
      <c r="C38" s="117" t="str" cm="1">
        <f t="array" aca="1" ref="C38" ca="1">_xlfn.XLOOKUP(Tableau16[[#This Row],[Bloc de critères]] &amp; Tableau16[[#This Row],[Rubrique]], INDIRECT($O$3&amp;"!A:A") &amp; INDIRECT($O$3&amp;"!B:B"), INDIRECT($O$3&amp;"!F:F"))</f>
        <v>Non appliqué</v>
      </c>
      <c r="D38" s="116" t="str" cm="1">
        <f t="array" aca="1" ref="D38" ca="1">_xlfn.XLOOKUP(Tableau16[[#This Row],[Bloc de critères]] &amp; Tableau16[[#This Row],[Rubrique]], INDIRECT($O$3&amp;"!A:A") &amp; INDIRECT($O$3&amp;"!B:B"), INDIRECT($O$3&amp;"!J:J"))</f>
        <v>Non appliqué</v>
      </c>
    </row>
    <row r="39" spans="1:4" x14ac:dyDescent="0.3">
      <c r="A39" s="115" t="s">
        <v>21</v>
      </c>
      <c r="B39" s="115" t="s">
        <v>724</v>
      </c>
      <c r="C39" s="117" t="str" cm="1">
        <f t="array" aca="1" ref="C39" ca="1">_xlfn.XLOOKUP(Tableau16[[#This Row],[Bloc de critères]] &amp; Tableau16[[#This Row],[Rubrique]], INDIRECT($O$3&amp;"!A:A") &amp; INDIRECT($O$3&amp;"!B:B"), INDIRECT($O$3&amp;"!F:F"))</f>
        <v>Non appliqué</v>
      </c>
      <c r="D39" s="116" t="str" cm="1">
        <f t="array" aca="1" ref="D39" ca="1">_xlfn.XLOOKUP(Tableau16[[#This Row],[Bloc de critères]] &amp; Tableau16[[#This Row],[Rubrique]], INDIRECT($O$3&amp;"!A:A") &amp; INDIRECT($O$3&amp;"!B:B"), INDIRECT($O$3&amp;"!J:J"))</f>
        <v>Non appliqué</v>
      </c>
    </row>
    <row r="40" spans="1:4" ht="22.8" x14ac:dyDescent="0.3">
      <c r="A40" s="115" t="s">
        <v>21</v>
      </c>
      <c r="B40" s="115" t="s">
        <v>725</v>
      </c>
      <c r="C40" s="117" t="str" cm="1">
        <f t="array" aca="1" ref="C40" ca="1">_xlfn.XLOOKUP(Tableau16[[#This Row],[Bloc de critères]] &amp; Tableau16[[#This Row],[Rubrique]], INDIRECT($O$3&amp;"!A:A") &amp; INDIRECT($O$3&amp;"!B:B"), INDIRECT($O$3&amp;"!F:F"))</f>
        <v>Non appliqué</v>
      </c>
      <c r="D40" s="116" t="str" cm="1">
        <f t="array" aca="1" ref="D40" ca="1">_xlfn.XLOOKUP(Tableau16[[#This Row],[Bloc de critères]] &amp; Tableau16[[#This Row],[Rubrique]], INDIRECT($O$3&amp;"!A:A") &amp; INDIRECT($O$3&amp;"!B:B"), INDIRECT($O$3&amp;"!J:J"))</f>
        <v>Non appliqué</v>
      </c>
    </row>
    <row r="41" spans="1:4" ht="22.8" x14ac:dyDescent="0.3">
      <c r="A41" s="115" t="s">
        <v>729</v>
      </c>
      <c r="B41" s="115" t="s">
        <v>729</v>
      </c>
      <c r="C41" s="117" t="str" cm="1">
        <f t="array" aca="1" ref="C41" ca="1">_xlfn.XLOOKUP(Tableau16[[#This Row],[Bloc de critères]] &amp; Tableau16[[#This Row],[Rubrique]], INDIRECT($O$3&amp;"!A:A") &amp; INDIRECT($O$3&amp;"!B:B"), INDIRECT($O$3&amp;"!F:F"))</f>
        <v>Non appliqué</v>
      </c>
      <c r="D41" s="116" t="str" cm="1">
        <f t="array" aca="1" ref="D41" ca="1">_xlfn.XLOOKUP(Tableau16[[#This Row],[Bloc de critères]] &amp; Tableau16[[#This Row],[Rubrique]], INDIRECT($O$3&amp;"!A:A") &amp; INDIRECT($O$3&amp;"!B:B"), INDIRECT($O$3&amp;"!J:J"))</f>
        <v>Non appliqué</v>
      </c>
    </row>
    <row r="42" spans="1:4" ht="22.8" x14ac:dyDescent="0.3">
      <c r="A42" s="115" t="s">
        <v>731</v>
      </c>
      <c r="B42" s="115" t="s">
        <v>733</v>
      </c>
      <c r="C42" s="117" t="str" cm="1">
        <f t="array" aca="1" ref="C42" ca="1">_xlfn.XLOOKUP(Tableau16[[#This Row],[Bloc de critères]] &amp; Tableau16[[#This Row],[Rubrique]], INDIRECT($O$3&amp;"!A:A") &amp; INDIRECT($O$3&amp;"!B:B"), INDIRECT($O$3&amp;"!F:F"))</f>
        <v>Non appliqué</v>
      </c>
      <c r="D42" s="116" t="str" cm="1">
        <f t="array" aca="1" ref="D42" ca="1">_xlfn.XLOOKUP(Tableau16[[#This Row],[Bloc de critères]] &amp; Tableau16[[#This Row],[Rubrique]], INDIRECT($O$3&amp;"!A:A") &amp; INDIRECT($O$3&amp;"!B:B"), INDIRECT($O$3&amp;"!J:J"))</f>
        <v>Non appliqué</v>
      </c>
    </row>
    <row r="43" spans="1:4" ht="34.200000000000003" x14ac:dyDescent="0.3">
      <c r="A43" s="115" t="s">
        <v>731</v>
      </c>
      <c r="B43" s="115" t="s">
        <v>734</v>
      </c>
      <c r="C43" s="117" t="str" cm="1">
        <f t="array" aca="1" ref="C43" ca="1">_xlfn.XLOOKUP(Tableau16[[#This Row],[Bloc de critères]] &amp; Tableau16[[#This Row],[Rubrique]], INDIRECT($O$3&amp;"!A:A") &amp; INDIRECT($O$3&amp;"!B:B"), INDIRECT($O$3&amp;"!F:F"))</f>
        <v>Non appliqué</v>
      </c>
      <c r="D43" s="116" t="str" cm="1">
        <f t="array" aca="1" ref="D43" ca="1">_xlfn.XLOOKUP(Tableau16[[#This Row],[Bloc de critères]] &amp; Tableau16[[#This Row],[Rubrique]], INDIRECT($O$3&amp;"!A:A") &amp; INDIRECT($O$3&amp;"!B:B"), INDIRECT($O$3&amp;"!J:J"))</f>
        <v>Non appliqué</v>
      </c>
    </row>
    <row r="44" spans="1:4" ht="34.200000000000003" x14ac:dyDescent="0.3">
      <c r="A44" s="115" t="s">
        <v>731</v>
      </c>
      <c r="B44" s="115" t="s">
        <v>735</v>
      </c>
      <c r="C44" s="117" t="str" cm="1">
        <f t="array" aca="1" ref="C44" ca="1">_xlfn.XLOOKUP(Tableau16[[#This Row],[Bloc de critères]] &amp; Tableau16[[#This Row],[Rubrique]], INDIRECT($O$3&amp;"!A:A") &amp; INDIRECT($O$3&amp;"!B:B"), INDIRECT($O$3&amp;"!F:F"))</f>
        <v>Non appliqué</v>
      </c>
      <c r="D44" s="116" t="str" cm="1">
        <f t="array" aca="1" ref="D44" ca="1">_xlfn.XLOOKUP(Tableau16[[#This Row],[Bloc de critères]] &amp; Tableau16[[#This Row],[Rubrique]], INDIRECT($O$3&amp;"!A:A") &amp; INDIRECT($O$3&amp;"!B:B"), INDIRECT($O$3&amp;"!J:J"))</f>
        <v>Non appliqué</v>
      </c>
    </row>
    <row r="45" spans="1:4" ht="34.200000000000003" x14ac:dyDescent="0.3">
      <c r="A45" s="115" t="s">
        <v>731</v>
      </c>
      <c r="B45" s="115" t="s">
        <v>736</v>
      </c>
      <c r="C45" s="117" t="str" cm="1">
        <f t="array" aca="1" ref="C45" ca="1">_xlfn.XLOOKUP(Tableau16[[#This Row],[Bloc de critères]] &amp; Tableau16[[#This Row],[Rubrique]], INDIRECT($O$3&amp;"!A:A") &amp; INDIRECT($O$3&amp;"!B:B"), INDIRECT($O$3&amp;"!F:F"))</f>
        <v>Non appliqué</v>
      </c>
      <c r="D45" s="116" t="str" cm="1">
        <f t="array" aca="1" ref="D45" ca="1">_xlfn.XLOOKUP(Tableau16[[#This Row],[Bloc de critères]] &amp; Tableau16[[#This Row],[Rubrique]], INDIRECT($O$3&amp;"!A:A") &amp; INDIRECT($O$3&amp;"!B:B"), INDIRECT($O$3&amp;"!J:J"))</f>
        <v>Non appliqué</v>
      </c>
    </row>
    <row r="46" spans="1:4" ht="45.6" x14ac:dyDescent="0.3">
      <c r="A46" s="115" t="s">
        <v>731</v>
      </c>
      <c r="B46" s="115" t="s">
        <v>737</v>
      </c>
      <c r="C46" s="117" t="str" cm="1">
        <f t="array" aca="1" ref="C46" ca="1">_xlfn.XLOOKUP(Tableau16[[#This Row],[Bloc de critères]] &amp; Tableau16[[#This Row],[Rubrique]], INDIRECT($O$3&amp;"!A:A") &amp; INDIRECT($O$3&amp;"!B:B"), INDIRECT($O$3&amp;"!F:F"))</f>
        <v>Non appliqué</v>
      </c>
      <c r="D46" s="116" t="str" cm="1">
        <f t="array" aca="1" ref="D46" ca="1">_xlfn.XLOOKUP(Tableau16[[#This Row],[Bloc de critères]] &amp; Tableau16[[#This Row],[Rubrique]], INDIRECT($O$3&amp;"!A:A") &amp; INDIRECT($O$3&amp;"!B:B"), INDIRECT($O$3&amp;"!J:J"))</f>
        <v>Non appliqué</v>
      </c>
    </row>
    <row r="47" spans="1:4" x14ac:dyDescent="0.3">
      <c r="A47" s="115" t="s">
        <v>738</v>
      </c>
      <c r="B47" s="115" t="s">
        <v>738</v>
      </c>
      <c r="C47" s="117" t="str" cm="1">
        <f t="array" aca="1" ref="C47" ca="1">_xlfn.XLOOKUP(Tableau16[[#This Row],[Bloc de critères]] &amp; Tableau16[[#This Row],[Rubrique]], INDIRECT($O$3&amp;"!A:A") &amp; INDIRECT($O$3&amp;"!B:B"), INDIRECT($O$3&amp;"!F:F"))</f>
        <v>Non appliqué</v>
      </c>
      <c r="D47" s="116" t="str" cm="1">
        <f t="array" aca="1" ref="D47" ca="1">_xlfn.XLOOKUP(Tableau16[[#This Row],[Bloc de critères]] &amp; Tableau16[[#This Row],[Rubrique]], INDIRECT($O$3&amp;"!A:A") &amp; INDIRECT($O$3&amp;"!B:B"), INDIRECT($O$3&amp;"!J:J"))</f>
        <v>Non appliqué</v>
      </c>
    </row>
    <row r="48" spans="1:4" x14ac:dyDescent="0.3">
      <c r="A48" s="115" t="s">
        <v>739</v>
      </c>
      <c r="B48" s="115" t="s">
        <v>682</v>
      </c>
      <c r="C48" s="117" cm="1">
        <f t="array" aca="1" ref="C48" ca="1">_xlfn.XLOOKUP(Tableau16[[#This Row],[Bloc de critères]] &amp; Tableau16[[#This Row],[Rubrique]], INDIRECT($O$3&amp;"!A:A") &amp; INDIRECT($O$3&amp;"!B:B"), INDIRECT($O$3&amp;"!F:F"))</f>
        <v>0</v>
      </c>
      <c r="D48" s="116" cm="1">
        <f t="array" aca="1" ref="D48" ca="1">_xlfn.XLOOKUP(Tableau16[[#This Row],[Bloc de critères]] &amp; Tableau16[[#This Row],[Rubrique]], INDIRECT($O$3&amp;"!A:A") &amp; INDIRECT($O$3&amp;"!B:B"), INDIRECT($O$3&amp;"!J:J"))</f>
        <v>0</v>
      </c>
    </row>
    <row r="49" spans="1:4" x14ac:dyDescent="0.3">
      <c r="A49" s="115" t="s">
        <v>739</v>
      </c>
      <c r="B49" s="115" t="s">
        <v>742</v>
      </c>
      <c r="C49" s="117" cm="1">
        <f t="array" aca="1" ref="C49" ca="1">_xlfn.XLOOKUP(Tableau16[[#This Row],[Bloc de critères]] &amp; Tableau16[[#This Row],[Rubrique]], INDIRECT($O$3&amp;"!A:A") &amp; INDIRECT($O$3&amp;"!B:B"), INDIRECT($O$3&amp;"!F:F"))</f>
        <v>0</v>
      </c>
      <c r="D49" s="116" cm="1">
        <f t="array" aca="1" ref="D49" ca="1">_xlfn.XLOOKUP(Tableau16[[#This Row],[Bloc de critères]] &amp; Tableau16[[#This Row],[Rubrique]], INDIRECT($O$3&amp;"!A:A") &amp; INDIRECT($O$3&amp;"!B:B"), INDIRECT($O$3&amp;"!J:J"))</f>
        <v>0</v>
      </c>
    </row>
    <row r="50" spans="1:4" ht="22.8" x14ac:dyDescent="0.3">
      <c r="A50" s="115" t="s">
        <v>739</v>
      </c>
      <c r="B50" s="115" t="s">
        <v>743</v>
      </c>
      <c r="C50" s="117" cm="1">
        <f t="array" aca="1" ref="C50" ca="1">_xlfn.XLOOKUP(Tableau16[[#This Row],[Bloc de critères]] &amp; Tableau16[[#This Row],[Rubrique]], INDIRECT($O$3&amp;"!A:A") &amp; INDIRECT($O$3&amp;"!B:B"), INDIRECT($O$3&amp;"!F:F"))</f>
        <v>0</v>
      </c>
      <c r="D50" s="116" t="str" cm="1">
        <f t="array" aca="1" ref="D50" ca="1">_xlfn.XLOOKUP(Tableau16[[#This Row],[Bloc de critères]] &amp; Tableau16[[#This Row],[Rubrique]], INDIRECT($O$3&amp;"!A:A") &amp; INDIRECT($O$3&amp;"!B:B"), INDIRECT($O$3&amp;"!J:J"))</f>
        <v>Non appliqué</v>
      </c>
    </row>
    <row r="51" spans="1:4" x14ac:dyDescent="0.3">
      <c r="A51" s="115" t="s">
        <v>739</v>
      </c>
      <c r="B51" s="115" t="s">
        <v>746</v>
      </c>
      <c r="C51" s="117" cm="1">
        <f t="array" aca="1" ref="C51" ca="1">_xlfn.XLOOKUP(Tableau16[[#This Row],[Bloc de critères]] &amp; Tableau16[[#This Row],[Rubrique]], INDIRECT($O$3&amp;"!A:A") &amp; INDIRECT($O$3&amp;"!B:B"), INDIRECT($O$3&amp;"!F:F"))</f>
        <v>0</v>
      </c>
      <c r="D51" s="116" cm="1">
        <f t="array" aca="1" ref="D51" ca="1">_xlfn.XLOOKUP(Tableau16[[#This Row],[Bloc de critères]] &amp; Tableau16[[#This Row],[Rubrique]], INDIRECT($O$3&amp;"!A:A") &amp; INDIRECT($O$3&amp;"!B:B"), INDIRECT($O$3&amp;"!J:J"))</f>
        <v>0</v>
      </c>
    </row>
    <row r="52" spans="1:4" x14ac:dyDescent="0.3">
      <c r="A52" s="115" t="s">
        <v>739</v>
      </c>
      <c r="B52" s="115" t="s">
        <v>747</v>
      </c>
      <c r="C52" s="117" cm="1">
        <f t="array" aca="1" ref="C52" ca="1">_xlfn.XLOOKUP(Tableau16[[#This Row],[Bloc de critères]] &amp; Tableau16[[#This Row],[Rubrique]], INDIRECT($O$3&amp;"!A:A") &amp; INDIRECT($O$3&amp;"!B:B"), INDIRECT($O$3&amp;"!F:F"))</f>
        <v>0</v>
      </c>
      <c r="D52" s="116" cm="1">
        <f t="array" aca="1" ref="D52" ca="1">_xlfn.XLOOKUP(Tableau16[[#This Row],[Bloc de critères]] &amp; Tableau16[[#This Row],[Rubrique]], INDIRECT($O$3&amp;"!A:A") &amp; INDIRECT($O$3&amp;"!B:B"), INDIRECT($O$3&amp;"!J:J"))</f>
        <v>0</v>
      </c>
    </row>
    <row r="53" spans="1:4" x14ac:dyDescent="0.3">
      <c r="A53" s="115" t="s">
        <v>739</v>
      </c>
      <c r="B53" s="115" t="s">
        <v>748</v>
      </c>
      <c r="C53" s="117" cm="1">
        <f t="array" aca="1" ref="C53" ca="1">_xlfn.XLOOKUP(Tableau16[[#This Row],[Bloc de critères]] &amp; Tableau16[[#This Row],[Rubrique]], INDIRECT($O$3&amp;"!A:A") &amp; INDIRECT($O$3&amp;"!B:B"), INDIRECT($O$3&amp;"!F:F"))</f>
        <v>0</v>
      </c>
      <c r="D53" s="116" cm="1">
        <f t="array" aca="1" ref="D53" ca="1">_xlfn.XLOOKUP(Tableau16[[#This Row],[Bloc de critères]] &amp; Tableau16[[#This Row],[Rubrique]], INDIRECT($O$3&amp;"!A:A") &amp; INDIRECT($O$3&amp;"!B:B"), INDIRECT($O$3&amp;"!J:J"))</f>
        <v>0</v>
      </c>
    </row>
    <row r="54" spans="1:4" x14ac:dyDescent="0.3">
      <c r="A54" s="115" t="s">
        <v>739</v>
      </c>
      <c r="B54" s="115" t="s">
        <v>751</v>
      </c>
      <c r="C54" s="117" cm="1">
        <f t="array" aca="1" ref="C54" ca="1">_xlfn.XLOOKUP(Tableau16[[#This Row],[Bloc de critères]] &amp; Tableau16[[#This Row],[Rubrique]], INDIRECT($O$3&amp;"!A:A") &amp; INDIRECT($O$3&amp;"!B:B"), INDIRECT($O$3&amp;"!F:F"))</f>
        <v>0</v>
      </c>
      <c r="D54" s="116" t="str" cm="1">
        <f t="array" aca="1" ref="D54" ca="1">_xlfn.XLOOKUP(Tableau16[[#This Row],[Bloc de critères]] &amp; Tableau16[[#This Row],[Rubrique]], INDIRECT($O$3&amp;"!A:A") &amp; INDIRECT($O$3&amp;"!B:B"), INDIRECT($O$3&amp;"!J:J"))</f>
        <v>Non appliqué</v>
      </c>
    </row>
    <row r="55" spans="1:4" ht="22.8" x14ac:dyDescent="0.3">
      <c r="A55" s="115" t="s">
        <v>739</v>
      </c>
      <c r="B55" s="115" t="s">
        <v>752</v>
      </c>
      <c r="C55" s="117" t="str" cm="1">
        <f t="array" aca="1" ref="C55" ca="1">_xlfn.XLOOKUP(Tableau16[[#This Row],[Bloc de critères]] &amp; Tableau16[[#This Row],[Rubrique]], INDIRECT($O$3&amp;"!A:A") &amp; INDIRECT($O$3&amp;"!B:B"), INDIRECT($O$3&amp;"!F:F"))</f>
        <v>Non appliqué</v>
      </c>
      <c r="D55" s="116" cm="1">
        <f t="array" aca="1" ref="D55" ca="1">_xlfn.XLOOKUP(Tableau16[[#This Row],[Bloc de critères]] &amp; Tableau16[[#This Row],[Rubrique]], INDIRECT($O$3&amp;"!A:A") &amp; INDIRECT($O$3&amp;"!B:B"), INDIRECT($O$3&amp;"!J:J"))</f>
        <v>0</v>
      </c>
    </row>
    <row r="56" spans="1:4" ht="34.200000000000003" x14ac:dyDescent="0.3">
      <c r="A56" s="115" t="s">
        <v>739</v>
      </c>
      <c r="B56" s="115" t="s">
        <v>753</v>
      </c>
      <c r="C56" s="117" cm="1">
        <f t="array" aca="1" ref="C56" ca="1">_xlfn.XLOOKUP(Tableau16[[#This Row],[Bloc de critères]] &amp; Tableau16[[#This Row],[Rubrique]], INDIRECT($O$3&amp;"!A:A") &amp; INDIRECT($O$3&amp;"!B:B"), INDIRECT($O$3&amp;"!F:F"))</f>
        <v>0</v>
      </c>
      <c r="D56" s="116" cm="1">
        <f t="array" aca="1" ref="D56" ca="1">_xlfn.XLOOKUP(Tableau16[[#This Row],[Bloc de critères]] &amp; Tableau16[[#This Row],[Rubrique]], INDIRECT($O$3&amp;"!A:A") &amp; INDIRECT($O$3&amp;"!B:B"), INDIRECT($O$3&amp;"!J:J"))</f>
        <v>0</v>
      </c>
    </row>
    <row r="57" spans="1:4" ht="22.8" x14ac:dyDescent="0.3">
      <c r="A57" s="115" t="s">
        <v>739</v>
      </c>
      <c r="B57" s="115" t="s">
        <v>755</v>
      </c>
      <c r="C57" s="117" t="str" cm="1">
        <f t="array" aca="1" ref="C57" ca="1">_xlfn.XLOOKUP(Tableau16[[#This Row],[Bloc de critères]] &amp; Tableau16[[#This Row],[Rubrique]], INDIRECT($O$3&amp;"!A:A") &amp; INDIRECT($O$3&amp;"!B:B"), INDIRECT($O$3&amp;"!F:F"))</f>
        <v>Non appliqué</v>
      </c>
      <c r="D57" s="116" t="str" cm="1">
        <f t="array" aca="1" ref="D57" ca="1">_xlfn.XLOOKUP(Tableau16[[#This Row],[Bloc de critères]] &amp; Tableau16[[#This Row],[Rubrique]], INDIRECT($O$3&amp;"!A:A") &amp; INDIRECT($O$3&amp;"!B:B"), INDIRECT($O$3&amp;"!J:J"))</f>
        <v>Non appliqué</v>
      </c>
    </row>
    <row r="58" spans="1:4" x14ac:dyDescent="0.3">
      <c r="A58" s="115" t="s">
        <v>739</v>
      </c>
      <c r="B58" s="115" t="s">
        <v>756</v>
      </c>
      <c r="C58" s="117" cm="1">
        <f t="array" aca="1" ref="C58" ca="1">_xlfn.XLOOKUP(Tableau16[[#This Row],[Bloc de critères]] &amp; Tableau16[[#This Row],[Rubrique]], INDIRECT($O$3&amp;"!A:A") &amp; INDIRECT($O$3&amp;"!B:B"), INDIRECT($O$3&amp;"!F:F"))</f>
        <v>0</v>
      </c>
      <c r="D58" s="116" cm="1">
        <f t="array" aca="1" ref="D58" ca="1">_xlfn.XLOOKUP(Tableau16[[#This Row],[Bloc de critères]] &amp; Tableau16[[#This Row],[Rubrique]], INDIRECT($O$3&amp;"!A:A") &amp; INDIRECT($O$3&amp;"!B:B"), INDIRECT($O$3&amp;"!J:J"))</f>
        <v>0</v>
      </c>
    </row>
    <row r="59" spans="1:4" ht="22.8" x14ac:dyDescent="0.3">
      <c r="A59" s="115" t="s">
        <v>757</v>
      </c>
      <c r="B59" s="115" t="s">
        <v>682</v>
      </c>
      <c r="C59" s="117" cm="1">
        <f t="array" aca="1" ref="C59" ca="1">_xlfn.XLOOKUP(Tableau16[[#This Row],[Bloc de critères]] &amp; Tableau16[[#This Row],[Rubrique]], INDIRECT($O$3&amp;"!A:A") &amp; INDIRECT($O$3&amp;"!B:B"), INDIRECT($O$3&amp;"!F:F"))</f>
        <v>0</v>
      </c>
      <c r="D59" s="116" cm="1">
        <f t="array" aca="1" ref="D59" ca="1">_xlfn.XLOOKUP(Tableau16[[#This Row],[Bloc de critères]] &amp; Tableau16[[#This Row],[Rubrique]], INDIRECT($O$3&amp;"!A:A") &amp; INDIRECT($O$3&amp;"!B:B"), INDIRECT($O$3&amp;"!J:J"))</f>
        <v>0</v>
      </c>
    </row>
    <row r="60" spans="1:4" ht="22.8" x14ac:dyDescent="0.3">
      <c r="A60" s="115" t="s">
        <v>757</v>
      </c>
      <c r="B60" s="115" t="s">
        <v>675</v>
      </c>
      <c r="C60" s="117" cm="1">
        <f t="array" aca="1" ref="C60" ca="1">_xlfn.XLOOKUP(Tableau16[[#This Row],[Bloc de critères]] &amp; Tableau16[[#This Row],[Rubrique]], INDIRECT($O$3&amp;"!A:A") &amp; INDIRECT($O$3&amp;"!B:B"), INDIRECT($O$3&amp;"!F:F"))</f>
        <v>0</v>
      </c>
      <c r="D60" s="116" cm="1">
        <f t="array" aca="1" ref="D60" ca="1">_xlfn.XLOOKUP(Tableau16[[#This Row],[Bloc de critères]] &amp; Tableau16[[#This Row],[Rubrique]], INDIRECT($O$3&amp;"!A:A") &amp; INDIRECT($O$3&amp;"!B:B"), INDIRECT($O$3&amp;"!J:J"))</f>
        <v>0</v>
      </c>
    </row>
    <row r="61" spans="1:4" ht="22.8" x14ac:dyDescent="0.3">
      <c r="A61" s="115" t="s">
        <v>757</v>
      </c>
      <c r="B61" s="115" t="s">
        <v>759</v>
      </c>
      <c r="C61" s="117" cm="1">
        <f t="array" aca="1" ref="C61" ca="1">_xlfn.XLOOKUP(Tableau16[[#This Row],[Bloc de critères]] &amp; Tableau16[[#This Row],[Rubrique]], INDIRECT($O$3&amp;"!A:A") &amp; INDIRECT($O$3&amp;"!B:B"), INDIRECT($O$3&amp;"!F:F"))</f>
        <v>0</v>
      </c>
      <c r="D61" s="116" cm="1">
        <f t="array" aca="1" ref="D61" ca="1">_xlfn.XLOOKUP(Tableau16[[#This Row],[Bloc de critères]] &amp; Tableau16[[#This Row],[Rubrique]], INDIRECT($O$3&amp;"!A:A") &amp; INDIRECT($O$3&amp;"!B:B"), INDIRECT($O$3&amp;"!J:J"))</f>
        <v>0</v>
      </c>
    </row>
    <row r="62" spans="1:4" ht="22.8" x14ac:dyDescent="0.3">
      <c r="A62" s="115" t="s">
        <v>757</v>
      </c>
      <c r="B62" s="115" t="s">
        <v>761</v>
      </c>
      <c r="C62" s="117" t="str" cm="1">
        <f t="array" aca="1" ref="C62" ca="1">_xlfn.XLOOKUP(Tableau16[[#This Row],[Bloc de critères]] &amp; Tableau16[[#This Row],[Rubrique]], INDIRECT($O$3&amp;"!A:A") &amp; INDIRECT($O$3&amp;"!B:B"), INDIRECT($O$3&amp;"!F:F"))</f>
        <v>Non appliqué</v>
      </c>
      <c r="D62" s="116" t="str" cm="1">
        <f t="array" aca="1" ref="D62" ca="1">_xlfn.XLOOKUP(Tableau16[[#This Row],[Bloc de critères]] &amp; Tableau16[[#This Row],[Rubrique]], INDIRECT($O$3&amp;"!A:A") &amp; INDIRECT($O$3&amp;"!B:B"), INDIRECT($O$3&amp;"!J:J"))</f>
        <v>Non appliqué</v>
      </c>
    </row>
    <row r="63" spans="1:4" ht="22.8" x14ac:dyDescent="0.3">
      <c r="A63" s="115" t="s">
        <v>757</v>
      </c>
      <c r="B63" s="115" t="s">
        <v>762</v>
      </c>
      <c r="C63" s="117" cm="1">
        <f t="array" aca="1" ref="C63" ca="1">_xlfn.XLOOKUP(Tableau16[[#This Row],[Bloc de critères]] &amp; Tableau16[[#This Row],[Rubrique]], INDIRECT($O$3&amp;"!A:A") &amp; INDIRECT($O$3&amp;"!B:B"), INDIRECT($O$3&amp;"!F:F"))</f>
        <v>0</v>
      </c>
      <c r="D63" s="116" t="str" cm="1">
        <f t="array" aca="1" ref="D63" ca="1">_xlfn.XLOOKUP(Tableau16[[#This Row],[Bloc de critères]] &amp; Tableau16[[#This Row],[Rubrique]], INDIRECT($O$3&amp;"!A:A") &amp; INDIRECT($O$3&amp;"!B:B"), INDIRECT($O$3&amp;"!J:J"))</f>
        <v>Non appliqué</v>
      </c>
    </row>
    <row r="64" spans="1:4" ht="22.8" x14ac:dyDescent="0.3">
      <c r="A64" s="115" t="s">
        <v>757</v>
      </c>
      <c r="B64" s="115" t="s">
        <v>763</v>
      </c>
      <c r="C64" s="117" cm="1">
        <f t="array" aca="1" ref="C64" ca="1">_xlfn.XLOOKUP(Tableau16[[#This Row],[Bloc de critères]] &amp; Tableau16[[#This Row],[Rubrique]], INDIRECT($O$3&amp;"!A:A") &amp; INDIRECT($O$3&amp;"!B:B"), INDIRECT($O$3&amp;"!F:F"))</f>
        <v>0</v>
      </c>
      <c r="D64" s="116" t="str" cm="1">
        <f t="array" aca="1" ref="D64" ca="1">_xlfn.XLOOKUP(Tableau16[[#This Row],[Bloc de critères]] &amp; Tableau16[[#This Row],[Rubrique]], INDIRECT($O$3&amp;"!A:A") &amp; INDIRECT($O$3&amp;"!B:B"), INDIRECT($O$3&amp;"!J:J"))</f>
        <v>Non appliqué</v>
      </c>
    </row>
    <row r="65" spans="1:4" ht="22.8" x14ac:dyDescent="0.3">
      <c r="A65" s="115" t="s">
        <v>757</v>
      </c>
      <c r="B65" s="115" t="s">
        <v>765</v>
      </c>
      <c r="C65" s="117" cm="1">
        <f t="array" aca="1" ref="C65" ca="1">_xlfn.XLOOKUP(Tableau16[[#This Row],[Bloc de critères]] &amp; Tableau16[[#This Row],[Rubrique]], INDIRECT($O$3&amp;"!A:A") &amp; INDIRECT($O$3&amp;"!B:B"), INDIRECT($O$3&amp;"!F:F"))</f>
        <v>0</v>
      </c>
      <c r="D65" s="116" cm="1">
        <f t="array" aca="1" ref="D65" ca="1">_xlfn.XLOOKUP(Tableau16[[#This Row],[Bloc de critères]] &amp; Tableau16[[#This Row],[Rubrique]], INDIRECT($O$3&amp;"!A:A") &amp; INDIRECT($O$3&amp;"!B:B"), INDIRECT($O$3&amp;"!J:J"))</f>
        <v>0</v>
      </c>
    </row>
    <row r="66" spans="1:4" ht="22.8" x14ac:dyDescent="0.3">
      <c r="A66" s="115" t="s">
        <v>757</v>
      </c>
      <c r="B66" s="115" t="s">
        <v>766</v>
      </c>
      <c r="C66" s="117" cm="1">
        <f t="array" aca="1" ref="C66" ca="1">_xlfn.XLOOKUP(Tableau16[[#This Row],[Bloc de critères]] &amp; Tableau16[[#This Row],[Rubrique]], INDIRECT($O$3&amp;"!A:A") &amp; INDIRECT($O$3&amp;"!B:B"), INDIRECT($O$3&amp;"!F:F"))</f>
        <v>0</v>
      </c>
      <c r="D66" s="116" cm="1">
        <f t="array" aca="1" ref="D66" ca="1">_xlfn.XLOOKUP(Tableau16[[#This Row],[Bloc de critères]] &amp; Tableau16[[#This Row],[Rubrique]], INDIRECT($O$3&amp;"!A:A") &amp; INDIRECT($O$3&amp;"!B:B"), INDIRECT($O$3&amp;"!J:J"))</f>
        <v>0</v>
      </c>
    </row>
    <row r="67" spans="1:4" ht="22.8" x14ac:dyDescent="0.3">
      <c r="A67" s="115" t="s">
        <v>767</v>
      </c>
      <c r="B67" s="115" t="s">
        <v>768</v>
      </c>
      <c r="C67" s="117" cm="1">
        <f t="array" aca="1" ref="C67" ca="1">_xlfn.XLOOKUP(Tableau16[[#This Row],[Bloc de critères]] &amp; Tableau16[[#This Row],[Rubrique]], INDIRECT($O$3&amp;"!A:A") &amp; INDIRECT($O$3&amp;"!B:B"), INDIRECT($O$3&amp;"!F:F"))</f>
        <v>0</v>
      </c>
      <c r="D67" s="116" cm="1">
        <f t="array" aca="1" ref="D67" ca="1">_xlfn.XLOOKUP(Tableau16[[#This Row],[Bloc de critères]] &amp; Tableau16[[#This Row],[Rubrique]], INDIRECT($O$3&amp;"!A:A") &amp; INDIRECT($O$3&amp;"!B:B"), INDIRECT($O$3&amp;"!J:J"))</f>
        <v>0</v>
      </c>
    </row>
    <row r="68" spans="1:4" ht="22.8" x14ac:dyDescent="0.3">
      <c r="A68" s="115" t="s">
        <v>767</v>
      </c>
      <c r="B68" s="115" t="s">
        <v>770</v>
      </c>
      <c r="C68" s="117" cm="1">
        <f t="array" aca="1" ref="C68" ca="1">_xlfn.XLOOKUP(Tableau16[[#This Row],[Bloc de critères]] &amp; Tableau16[[#This Row],[Rubrique]], INDIRECT($O$3&amp;"!A:A") &amp; INDIRECT($O$3&amp;"!B:B"), INDIRECT($O$3&amp;"!F:F"))</f>
        <v>0</v>
      </c>
      <c r="D68" s="116" t="str" cm="1">
        <f t="array" aca="1" ref="D68" ca="1">_xlfn.XLOOKUP(Tableau16[[#This Row],[Bloc de critères]] &amp; Tableau16[[#This Row],[Rubrique]], INDIRECT($O$3&amp;"!A:A") &amp; INDIRECT($O$3&amp;"!B:B"), INDIRECT($O$3&amp;"!J:J"))</f>
        <v>Non appliqué</v>
      </c>
    </row>
    <row r="69" spans="1:4" ht="22.8" x14ac:dyDescent="0.3">
      <c r="A69" s="115" t="s">
        <v>767</v>
      </c>
      <c r="B69" s="115" t="s">
        <v>772</v>
      </c>
      <c r="C69" s="117" t="str" cm="1">
        <f t="array" aca="1" ref="C69" ca="1">_xlfn.XLOOKUP(Tableau16[[#This Row],[Bloc de critères]] &amp; Tableau16[[#This Row],[Rubrique]], INDIRECT($O$3&amp;"!A:A") &amp; INDIRECT($O$3&amp;"!B:B"), INDIRECT($O$3&amp;"!F:F"))</f>
        <v>Non appliqué</v>
      </c>
      <c r="D69" s="116" cm="1">
        <f t="array" aca="1" ref="D69" ca="1">_xlfn.XLOOKUP(Tableau16[[#This Row],[Bloc de critères]] &amp; Tableau16[[#This Row],[Rubrique]], INDIRECT($O$3&amp;"!A:A") &amp; INDIRECT($O$3&amp;"!B:B"), INDIRECT($O$3&amp;"!J:J"))</f>
        <v>0</v>
      </c>
    </row>
    <row r="70" spans="1:4" ht="22.8" x14ac:dyDescent="0.3">
      <c r="A70" s="115" t="s">
        <v>773</v>
      </c>
      <c r="B70" s="115" t="s">
        <v>775</v>
      </c>
      <c r="C70" s="117" cm="1">
        <f t="array" aca="1" ref="C70" ca="1">_xlfn.XLOOKUP(Tableau16[[#This Row],[Bloc de critères]] &amp; Tableau16[[#This Row],[Rubrique]], INDIRECT($O$3&amp;"!A:A") &amp; INDIRECT($O$3&amp;"!B:B"), INDIRECT($O$3&amp;"!F:F"))</f>
        <v>0</v>
      </c>
      <c r="D70" s="116" cm="1">
        <f t="array" aca="1" ref="D70" ca="1">_xlfn.XLOOKUP(Tableau16[[#This Row],[Bloc de critères]] &amp; Tableau16[[#This Row],[Rubrique]], INDIRECT($O$3&amp;"!A:A") &amp; INDIRECT($O$3&amp;"!B:B"), INDIRECT($O$3&amp;"!J:J"))</f>
        <v>0</v>
      </c>
    </row>
    <row r="71" spans="1:4" ht="22.8" x14ac:dyDescent="0.3">
      <c r="A71" s="115" t="s">
        <v>773</v>
      </c>
      <c r="B71" s="115" t="s">
        <v>776</v>
      </c>
      <c r="C71" s="117" cm="1">
        <f t="array" aca="1" ref="C71" ca="1">_xlfn.XLOOKUP(Tableau16[[#This Row],[Bloc de critères]] &amp; Tableau16[[#This Row],[Rubrique]], INDIRECT($O$3&amp;"!A:A") &amp; INDIRECT($O$3&amp;"!B:B"), INDIRECT($O$3&amp;"!F:F"))</f>
        <v>0</v>
      </c>
      <c r="D71" s="116" cm="1">
        <f t="array" aca="1" ref="D71" ca="1">_xlfn.XLOOKUP(Tableau16[[#This Row],[Bloc de critères]] &amp; Tableau16[[#This Row],[Rubrique]], INDIRECT($O$3&amp;"!A:A") &amp; INDIRECT($O$3&amp;"!B:B"), INDIRECT($O$3&amp;"!J:J"))</f>
        <v>0</v>
      </c>
    </row>
    <row r="72" spans="1:4" ht="22.8" x14ac:dyDescent="0.3">
      <c r="A72" s="115" t="s">
        <v>773</v>
      </c>
      <c r="B72" s="115" t="s">
        <v>777</v>
      </c>
      <c r="C72" s="117" cm="1">
        <f t="array" aca="1" ref="C72" ca="1">_xlfn.XLOOKUP(Tableau16[[#This Row],[Bloc de critères]] &amp; Tableau16[[#This Row],[Rubrique]], INDIRECT($O$3&amp;"!A:A") &amp; INDIRECT($O$3&amp;"!B:B"), INDIRECT($O$3&amp;"!F:F"))</f>
        <v>0</v>
      </c>
      <c r="D72" s="116" cm="1">
        <f t="array" aca="1" ref="D72" ca="1">_xlfn.XLOOKUP(Tableau16[[#This Row],[Bloc de critères]] &amp; Tableau16[[#This Row],[Rubrique]], INDIRECT($O$3&amp;"!A:A") &amp; INDIRECT($O$3&amp;"!B:B"), INDIRECT($O$3&amp;"!J:J"))</f>
        <v>0</v>
      </c>
    </row>
    <row r="73" spans="1:4" x14ac:dyDescent="0.3">
      <c r="A73" s="111"/>
      <c r="B73" s="111"/>
      <c r="C73" s="110"/>
      <c r="D73" s="109"/>
    </row>
    <row r="74" spans="1:4" x14ac:dyDescent="0.3">
      <c r="A74" s="112"/>
      <c r="B74" s="112"/>
      <c r="C74" s="110"/>
      <c r="D74" s="109"/>
    </row>
    <row r="75" spans="1:4" x14ac:dyDescent="0.3">
      <c r="A75" s="112"/>
      <c r="B75" s="112"/>
      <c r="C75" s="110"/>
      <c r="D75" s="109"/>
    </row>
    <row r="76" spans="1:4" x14ac:dyDescent="0.3">
      <c r="A76" s="112"/>
      <c r="B76" s="112"/>
      <c r="C76" s="110"/>
      <c r="D76" s="109"/>
    </row>
    <row r="77" spans="1:4" x14ac:dyDescent="0.3">
      <c r="A77" s="112"/>
      <c r="B77" s="112"/>
      <c r="C77" s="110"/>
      <c r="D77" s="109"/>
    </row>
    <row r="78" spans="1:4" x14ac:dyDescent="0.3">
      <c r="A78" s="112"/>
      <c r="B78" s="112"/>
      <c r="C78" s="110"/>
      <c r="D78" s="109"/>
    </row>
    <row r="79" spans="1:4" x14ac:dyDescent="0.3">
      <c r="A79" s="112"/>
      <c r="B79" s="112"/>
      <c r="C79" s="110"/>
      <c r="D79" s="109"/>
    </row>
    <row r="80" spans="1:4" x14ac:dyDescent="0.3">
      <c r="A80" s="112"/>
      <c r="B80" s="112"/>
      <c r="C80" s="110"/>
      <c r="D80" s="109"/>
    </row>
    <row r="81" spans="1:4" x14ac:dyDescent="0.3">
      <c r="A81" s="112"/>
      <c r="B81" s="112"/>
      <c r="C81" s="110"/>
      <c r="D81" s="109"/>
    </row>
    <row r="82" spans="1:4" x14ac:dyDescent="0.3">
      <c r="A82" s="112"/>
      <c r="B82" s="112"/>
      <c r="C82" s="110"/>
      <c r="D82" s="109"/>
    </row>
    <row r="83" spans="1:4" x14ac:dyDescent="0.3">
      <c r="A83" s="112"/>
      <c r="B83" s="112"/>
      <c r="C83" s="110"/>
      <c r="D83" s="109"/>
    </row>
    <row r="84" spans="1:4" x14ac:dyDescent="0.3">
      <c r="A84" s="112"/>
      <c r="B84" s="112"/>
      <c r="C84" s="110"/>
      <c r="D84" s="109"/>
    </row>
    <row r="85" spans="1:4" x14ac:dyDescent="0.3">
      <c r="A85" s="112"/>
      <c r="B85" s="112"/>
      <c r="C85" s="110"/>
      <c r="D85" s="109"/>
    </row>
    <row r="86" spans="1:4" x14ac:dyDescent="0.3">
      <c r="A86" s="112"/>
      <c r="B86" s="112"/>
      <c r="C86" s="110"/>
      <c r="D86" s="109"/>
    </row>
    <row r="87" spans="1:4" x14ac:dyDescent="0.3">
      <c r="A87" s="112"/>
      <c r="B87" s="112"/>
      <c r="C87" s="110"/>
      <c r="D87" s="109"/>
    </row>
    <row r="88" spans="1:4" x14ac:dyDescent="0.3">
      <c r="A88" s="112"/>
      <c r="B88" s="112"/>
      <c r="C88" s="110"/>
      <c r="D88" s="109"/>
    </row>
    <row r="89" spans="1:4" x14ac:dyDescent="0.3">
      <c r="A89" s="112"/>
      <c r="B89" s="112"/>
      <c r="C89" s="110"/>
      <c r="D89" s="109"/>
    </row>
    <row r="90" spans="1:4" x14ac:dyDescent="0.3">
      <c r="A90" s="112"/>
      <c r="B90" s="112"/>
      <c r="C90" s="110"/>
      <c r="D90" s="109"/>
    </row>
    <row r="91" spans="1:4" x14ac:dyDescent="0.3">
      <c r="A91"/>
      <c r="B91"/>
      <c r="C91"/>
    </row>
    <row r="92" spans="1:4" x14ac:dyDescent="0.3">
      <c r="A92"/>
      <c r="B92"/>
      <c r="C92"/>
    </row>
    <row r="93" spans="1:4" x14ac:dyDescent="0.3">
      <c r="A93"/>
      <c r="B93"/>
      <c r="C93"/>
    </row>
    <row r="94" spans="1:4" x14ac:dyDescent="0.3">
      <c r="A94"/>
      <c r="B94"/>
      <c r="C94"/>
    </row>
    <row r="95" spans="1:4" x14ac:dyDescent="0.3">
      <c r="A95"/>
      <c r="B95"/>
      <c r="C95"/>
    </row>
    <row r="96" spans="1:4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EA4A-6526-49FE-BE6B-D9CEE32A5D05}">
  <sheetPr codeName="Feuil43"/>
  <dimension ref="A1:P496"/>
  <sheetViews>
    <sheetView zoomScale="106" zoomScaleNormal="100" workbookViewId="0">
      <selection activeCell="I16" sqref="I16:J16"/>
    </sheetView>
  </sheetViews>
  <sheetFormatPr baseColWidth="10" defaultColWidth="11.33203125" defaultRowHeight="14.4" x14ac:dyDescent="0.3"/>
  <cols>
    <col min="1" max="1" width="22.109375" style="58" bestFit="1" customWidth="1"/>
    <col min="2" max="2" width="15.5546875" style="58" customWidth="1"/>
    <col min="3" max="3" width="23.77734375" style="108" customWidth="1"/>
    <col min="4" max="4" width="27.6640625" style="15" customWidth="1"/>
    <col min="6" max="6" width="18.109375" customWidth="1"/>
    <col min="7" max="11" width="10.109375" bestFit="1" customWidth="1"/>
    <col min="13" max="13" width="18.109375" customWidth="1"/>
    <col min="14" max="14" width="21.109375" bestFit="1" customWidth="1"/>
    <col min="15" max="16" width="46.109375" bestFit="1" customWidth="1"/>
    <col min="17" max="17" width="12.109375" bestFit="1" customWidth="1"/>
    <col min="18" max="18" width="18.77734375" bestFit="1" customWidth="1"/>
    <col min="19" max="19" width="25" bestFit="1" customWidth="1"/>
    <col min="20" max="20" width="18.109375" bestFit="1" customWidth="1"/>
  </cols>
  <sheetData>
    <row r="1" spans="1:16" s="107" customFormat="1" ht="25.8" thickBot="1" x14ac:dyDescent="0.35">
      <c r="A1" s="113" t="s">
        <v>616</v>
      </c>
      <c r="B1" s="113" t="s">
        <v>618</v>
      </c>
      <c r="C1" s="113" t="s">
        <v>803</v>
      </c>
      <c r="D1" s="113" t="s">
        <v>804</v>
      </c>
      <c r="P1" s="114"/>
    </row>
    <row r="2" spans="1:16" ht="25.8" thickBot="1" x14ac:dyDescent="0.35">
      <c r="A2" s="115" t="s">
        <v>646</v>
      </c>
      <c r="B2" s="115" t="s">
        <v>648</v>
      </c>
      <c r="C2" s="117" t="str" cm="1">
        <f t="array" aca="1" ref="C2" ca="1">_xlfn.XLOOKUP(Tableau1[[#This Row],[Bloc de critères]] &amp; Tableau1[[#This Row],[Rubrique]], INDIRECT($O$3&amp;"!A:A") &amp; INDIRECT($O$3&amp;"!B:B"), INDIRECT($O$3&amp;"!F:F"))</f>
        <v>Non appliqué</v>
      </c>
      <c r="D2" s="116" t="str" cm="1">
        <f t="array" aca="1" ref="D2" ca="1">_xlfn.XLOOKUP(Tableau1[[#This Row],[Bloc de critères]] &amp; Tableau1[[#This Row],[Rubrique]], INDIRECT($O$3&amp;"!A:A") &amp; INDIRECT($O$3&amp;"!B:B"), INDIRECT($O$3&amp;"!J:J"))</f>
        <v>Non appliqué</v>
      </c>
      <c r="G2" s="79" t="s">
        <v>805</v>
      </c>
      <c r="H2" s="79" t="s">
        <v>806</v>
      </c>
      <c r="I2" s="79" t="s">
        <v>807</v>
      </c>
      <c r="J2" s="79" t="s">
        <v>808</v>
      </c>
      <c r="K2" s="79" t="s">
        <v>809</v>
      </c>
      <c r="P2" s="15"/>
    </row>
    <row r="3" spans="1:16" ht="25.8" thickBot="1" x14ac:dyDescent="0.35">
      <c r="A3" s="115" t="s">
        <v>646</v>
      </c>
      <c r="B3" s="115" t="s">
        <v>652</v>
      </c>
      <c r="C3" s="117" t="str" cm="1">
        <f t="array" aca="1" ref="C3" ca="1">_xlfn.XLOOKUP(Tableau1[[#This Row],[Bloc de critères]] &amp; Tableau1[[#This Row],[Rubrique]], INDIRECT($O$3&amp;"!A:A") &amp; INDIRECT($O$3&amp;"!B:B"), INDIRECT($O$3&amp;"!F:F"))</f>
        <v>Non appliqué</v>
      </c>
      <c r="D3" s="116" cm="1">
        <f t="array" aca="1" ref="D3" ca="1">_xlfn.XLOOKUP(Tableau1[[#This Row],[Bloc de critères]] &amp; Tableau1[[#This Row],[Rubrique]], INDIRECT($O$3&amp;"!A:A") &amp; INDIRECT($O$3&amp;"!B:B"), INDIRECT($O$3&amp;"!J:J"))</f>
        <v>0</v>
      </c>
      <c r="G3" s="79" t="s">
        <v>37</v>
      </c>
      <c r="H3" s="79" t="s">
        <v>38</v>
      </c>
      <c r="I3" s="79" t="s">
        <v>39</v>
      </c>
      <c r="J3" s="79" t="s">
        <v>40</v>
      </c>
      <c r="K3" s="79" t="s">
        <v>41</v>
      </c>
      <c r="M3" s="79" t="s">
        <v>810</v>
      </c>
      <c r="N3" s="80" t="str">
        <f>K3</f>
        <v>Hôtel 1 étoile</v>
      </c>
      <c r="O3" t="str">
        <f>INDEX(G2:K2,MATCH(N3,G3:K3,0))</f>
        <v>grille_ht1</v>
      </c>
      <c r="P3" s="15"/>
    </row>
    <row r="4" spans="1:16" ht="38.4" thickBot="1" x14ac:dyDescent="0.35">
      <c r="A4" s="115" t="s">
        <v>653</v>
      </c>
      <c r="B4" s="115" t="s">
        <v>654</v>
      </c>
      <c r="C4" s="117" t="str" cm="1">
        <f t="array" aca="1" ref="C4" ca="1">_xlfn.XLOOKUP(Tableau1[[#This Row],[Bloc de critères]] &amp; Tableau1[[#This Row],[Rubrique]], INDIRECT($O$3&amp;"!A:A") &amp; INDIRECT($O$3&amp;"!B:B"), INDIRECT($O$3&amp;"!F:F"))</f>
        <v>Non appliqué</v>
      </c>
      <c r="D4" s="116" t="str" cm="1">
        <f t="array" aca="1" ref="D4" ca="1">_xlfn.XLOOKUP(Tableau1[[#This Row],[Bloc de critères]] &amp; Tableau1[[#This Row],[Rubrique]], INDIRECT($O$3&amp;"!A:A") &amp; INDIRECT($O$3&amp;"!B:B"), INDIRECT($O$3&amp;"!J:J"))</f>
        <v>Non appliqué</v>
      </c>
      <c r="G4">
        <v>5</v>
      </c>
      <c r="H4">
        <v>4</v>
      </c>
      <c r="I4">
        <v>3</v>
      </c>
      <c r="J4">
        <v>2</v>
      </c>
      <c r="K4">
        <v>1</v>
      </c>
      <c r="M4" s="79" t="s">
        <v>811</v>
      </c>
      <c r="N4" s="80">
        <f ca="1">_xlfn.XLOOKUP(N3,G3:K3,G5:K5)</f>
        <v>0</v>
      </c>
      <c r="P4" s="15"/>
    </row>
    <row r="5" spans="1:16" ht="38.4" thickBot="1" x14ac:dyDescent="0.35">
      <c r="A5" s="115" t="s">
        <v>653</v>
      </c>
      <c r="B5" s="115" t="s">
        <v>657</v>
      </c>
      <c r="C5" s="117" t="str" cm="1">
        <f t="array" aca="1" ref="C5" ca="1">_xlfn.XLOOKUP(Tableau1[[#This Row],[Bloc de critères]] &amp; Tableau1[[#This Row],[Rubrique]], INDIRECT($O$3&amp;"!A:A") &amp; INDIRECT($O$3&amp;"!B:B"), INDIRECT($O$3&amp;"!F:F"))</f>
        <v>Non appliqué</v>
      </c>
      <c r="D5" s="116" t="str" cm="1">
        <f t="array" aca="1" ref="D5" ca="1">_xlfn.XLOOKUP(Tableau1[[#This Row],[Bloc de critères]] &amp; Tableau1[[#This Row],[Rubrique]], INDIRECT($O$3&amp;"!A:A") &amp; INDIRECT($O$3&amp;"!B:B"), INDIRECT($O$3&amp;"!J:J"))</f>
        <v>Non appliqué</v>
      </c>
      <c r="F5" s="79" t="s">
        <v>812</v>
      </c>
      <c r="G5" s="81">
        <f ca="1">SUM(Grille_HT5!U2:U91)</f>
        <v>0</v>
      </c>
      <c r="H5" s="81">
        <f ca="1">SUM(Grille_HT4!U2:U91)</f>
        <v>0</v>
      </c>
      <c r="I5" s="81">
        <f ca="1">SUM(Grille_HT3!U2:U91)</f>
        <v>0</v>
      </c>
      <c r="J5" s="81">
        <f ca="1">SUM(Grille_HT2!U2:U91)</f>
        <v>0</v>
      </c>
      <c r="K5" s="81">
        <f ca="1">SUM(Grille_HT1!U2:U91)</f>
        <v>0</v>
      </c>
      <c r="M5" s="79" t="s">
        <v>813</v>
      </c>
      <c r="N5" s="80">
        <f ca="1">_xlfn.XLOOKUP(N3,G3:K3,G6:K6)</f>
        <v>0</v>
      </c>
    </row>
    <row r="6" spans="1:16" ht="38.4" thickBot="1" x14ac:dyDescent="0.35">
      <c r="A6" s="115" t="s">
        <v>653</v>
      </c>
      <c r="B6" s="115" t="s">
        <v>658</v>
      </c>
      <c r="C6" s="117" cm="1">
        <f t="array" aca="1" ref="C6" ca="1">_xlfn.XLOOKUP(Tableau1[[#This Row],[Bloc de critères]] &amp; Tableau1[[#This Row],[Rubrique]], INDIRECT($O$3&amp;"!A:A") &amp; INDIRECT($O$3&amp;"!B:B"), INDIRECT($O$3&amp;"!F:F"))</f>
        <v>0</v>
      </c>
      <c r="D6" s="116" t="str" cm="1">
        <f t="array" aca="1" ref="D6" ca="1">_xlfn.XLOOKUP(Tableau1[[#This Row],[Bloc de critères]] &amp; Tableau1[[#This Row],[Rubrique]], INDIRECT($O$3&amp;"!A:A") &amp; INDIRECT($O$3&amp;"!B:B"), INDIRECT($O$3&amp;"!J:J"))</f>
        <v>Non appliqué</v>
      </c>
      <c r="F6" s="79" t="s">
        <v>814</v>
      </c>
      <c r="G6" s="81">
        <f ca="1">SUM(Grille_HT5!X2:X91)</f>
        <v>0</v>
      </c>
      <c r="H6" s="81">
        <f ca="1">SUM(Grille_HT4!X2:X91)</f>
        <v>0</v>
      </c>
      <c r="I6" s="81">
        <f ca="1">SUM(Grille_HT3!X2:X91)</f>
        <v>0</v>
      </c>
      <c r="J6" s="81">
        <f ca="1">SUM(Grille_HT2!X2:X91)</f>
        <v>0</v>
      </c>
      <c r="K6" s="81">
        <f ca="1">SUM(Grille_HT1!X2:X91)</f>
        <v>0</v>
      </c>
      <c r="O6" s="15"/>
    </row>
    <row r="7" spans="1:16" ht="15" thickBot="1" x14ac:dyDescent="0.35">
      <c r="A7" s="115" t="s">
        <v>659</v>
      </c>
      <c r="B7" s="115" t="s">
        <v>661</v>
      </c>
      <c r="C7" s="117" cm="1">
        <f t="array" aca="1" ref="C7" ca="1">_xlfn.XLOOKUP(Tableau1[[#This Row],[Bloc de critères]] &amp; Tableau1[[#This Row],[Rubrique]], INDIRECT($O$3&amp;"!A:A") &amp; INDIRECT($O$3&amp;"!B:B"), INDIRECT($O$3&amp;"!F:F"))</f>
        <v>0</v>
      </c>
      <c r="D7" s="116" t="str" cm="1">
        <f t="array" aca="1" ref="D7" ca="1">_xlfn.XLOOKUP(Tableau1[[#This Row],[Bloc de critères]] &amp; Tableau1[[#This Row],[Rubrique]], INDIRECT($O$3&amp;"!A:A") &amp; INDIRECT($O$3&amp;"!B:B"), INDIRECT($O$3&amp;"!J:J"))</f>
        <v>Non appliqué</v>
      </c>
      <c r="F7" s="79" t="s">
        <v>815</v>
      </c>
      <c r="G7" s="81">
        <f ca="1">AVERAGE(G5:G6)</f>
        <v>0</v>
      </c>
      <c r="H7" s="81">
        <f t="shared" ref="H7:K7" ca="1" si="0">AVERAGE(H5:H6)</f>
        <v>0</v>
      </c>
      <c r="I7" s="81">
        <f t="shared" ca="1" si="0"/>
        <v>0</v>
      </c>
      <c r="J7" s="81">
        <f t="shared" ca="1" si="0"/>
        <v>0</v>
      </c>
      <c r="K7" s="81">
        <f t="shared" ca="1" si="0"/>
        <v>0</v>
      </c>
    </row>
    <row r="8" spans="1:16" ht="22.8" x14ac:dyDescent="0.3">
      <c r="A8" s="115" t="s">
        <v>659</v>
      </c>
      <c r="B8" s="115" t="s">
        <v>662</v>
      </c>
      <c r="C8" s="117" cm="1">
        <f t="array" aca="1" ref="C8" ca="1">_xlfn.XLOOKUP(Tableau1[[#This Row],[Bloc de critères]] &amp; Tableau1[[#This Row],[Rubrique]], INDIRECT($O$3&amp;"!A:A") &amp; INDIRECT($O$3&amp;"!B:B"), INDIRECT($O$3&amp;"!F:F"))</f>
        <v>0</v>
      </c>
      <c r="D8" s="116" cm="1">
        <f t="array" aca="1" ref="D8" ca="1">_xlfn.XLOOKUP(Tableau1[[#This Row],[Bloc de critères]] &amp; Tableau1[[#This Row],[Rubrique]], INDIRECT($O$3&amp;"!A:A") &amp; INDIRECT($O$3&amp;"!B:B"), INDIRECT($O$3&amp;"!J:J"))</f>
        <v>0</v>
      </c>
    </row>
    <row r="9" spans="1:16" x14ac:dyDescent="0.3">
      <c r="A9" s="115" t="s">
        <v>659</v>
      </c>
      <c r="B9" s="115" t="s">
        <v>664</v>
      </c>
      <c r="C9" s="117" cm="1">
        <f t="array" aca="1" ref="C9" ca="1">_xlfn.XLOOKUP(Tableau1[[#This Row],[Bloc de critères]] &amp; Tableau1[[#This Row],[Rubrique]], INDIRECT($O$3&amp;"!A:A") &amp; INDIRECT($O$3&amp;"!B:B"), INDIRECT($O$3&amp;"!F:F"))</f>
        <v>0</v>
      </c>
      <c r="D9" s="116" cm="1">
        <f t="array" aca="1" ref="D9" ca="1">_xlfn.XLOOKUP(Tableau1[[#This Row],[Bloc de critères]] &amp; Tableau1[[#This Row],[Rubrique]], INDIRECT($O$3&amp;"!A:A") &amp; INDIRECT($O$3&amp;"!B:B"), INDIRECT($O$3&amp;"!J:J"))</f>
        <v>0</v>
      </c>
    </row>
    <row r="10" spans="1:16" x14ac:dyDescent="0.3">
      <c r="A10" s="115" t="s">
        <v>659</v>
      </c>
      <c r="B10" s="115" t="s">
        <v>667</v>
      </c>
      <c r="C10" s="117" t="str" cm="1">
        <f t="array" aca="1" ref="C10" ca="1">_xlfn.XLOOKUP(Tableau1[[#This Row],[Bloc de critères]] &amp; Tableau1[[#This Row],[Rubrique]], INDIRECT($O$3&amp;"!A:A") &amp; INDIRECT($O$3&amp;"!B:B"), INDIRECT($O$3&amp;"!F:F"))</f>
        <v>Non appliqué</v>
      </c>
      <c r="D10" s="116" t="str" cm="1">
        <f t="array" aca="1" ref="D10" ca="1">_xlfn.XLOOKUP(Tableau1[[#This Row],[Bloc de critères]] &amp; Tableau1[[#This Row],[Rubrique]], INDIRECT($O$3&amp;"!A:A") &amp; INDIRECT($O$3&amp;"!B:B"), INDIRECT($O$3&amp;"!J:J"))</f>
        <v>Non appliqué</v>
      </c>
    </row>
    <row r="11" spans="1:16" x14ac:dyDescent="0.3">
      <c r="A11" s="115" t="s">
        <v>659</v>
      </c>
      <c r="B11" s="115" t="s">
        <v>668</v>
      </c>
      <c r="C11" s="117" t="str" cm="1">
        <f t="array" aca="1" ref="C11" ca="1">_xlfn.XLOOKUP(Tableau1[[#This Row],[Bloc de critères]] &amp; Tableau1[[#This Row],[Rubrique]], INDIRECT($O$3&amp;"!A:A") &amp; INDIRECT($O$3&amp;"!B:B"), INDIRECT($O$3&amp;"!F:F"))</f>
        <v>Non appliqué</v>
      </c>
      <c r="D11" s="116" cm="1">
        <f t="array" aca="1" ref="D11" ca="1">_xlfn.XLOOKUP(Tableau1[[#This Row],[Bloc de critères]] &amp; Tableau1[[#This Row],[Rubrique]], INDIRECT($O$3&amp;"!A:A") &amp; INDIRECT($O$3&amp;"!B:B"), INDIRECT($O$3&amp;"!J:J"))</f>
        <v>0</v>
      </c>
    </row>
    <row r="12" spans="1:16" x14ac:dyDescent="0.3">
      <c r="A12" s="115" t="s">
        <v>669</v>
      </c>
      <c r="B12" s="115" t="s">
        <v>671</v>
      </c>
      <c r="C12" s="117" cm="1">
        <f t="array" aca="1" ref="C12" ca="1">_xlfn.XLOOKUP(Tableau1[[#This Row],[Bloc de critères]] &amp; Tableau1[[#This Row],[Rubrique]], INDIRECT($O$3&amp;"!A:A") &amp; INDIRECT($O$3&amp;"!B:B"), INDIRECT($O$3&amp;"!F:F"))</f>
        <v>0</v>
      </c>
      <c r="D12" s="116" cm="1">
        <f t="array" aca="1" ref="D12" ca="1">_xlfn.XLOOKUP(Tableau1[[#This Row],[Bloc de critères]] &amp; Tableau1[[#This Row],[Rubrique]], INDIRECT($O$3&amp;"!A:A") &amp; INDIRECT($O$3&amp;"!B:B"), INDIRECT($O$3&amp;"!J:J"))</f>
        <v>0</v>
      </c>
    </row>
    <row r="13" spans="1:16" ht="22.8" x14ac:dyDescent="0.3">
      <c r="A13" s="115" t="s">
        <v>669</v>
      </c>
      <c r="B13" s="115" t="s">
        <v>673</v>
      </c>
      <c r="C13" s="117" cm="1">
        <f t="array" aca="1" ref="C13" ca="1">_xlfn.XLOOKUP(Tableau1[[#This Row],[Bloc de critères]] &amp; Tableau1[[#This Row],[Rubrique]], INDIRECT($O$3&amp;"!A:A") &amp; INDIRECT($O$3&amp;"!B:B"), INDIRECT($O$3&amp;"!F:F"))</f>
        <v>0</v>
      </c>
      <c r="D13" s="116" cm="1">
        <f t="array" aca="1" ref="D13" ca="1">_xlfn.XLOOKUP(Tableau1[[#This Row],[Bloc de critères]] &amp; Tableau1[[#This Row],[Rubrique]], INDIRECT($O$3&amp;"!A:A") &amp; INDIRECT($O$3&amp;"!B:B"), INDIRECT($O$3&amp;"!J:J"))</f>
        <v>0</v>
      </c>
    </row>
    <row r="14" spans="1:16" x14ac:dyDescent="0.3">
      <c r="A14" s="115" t="s">
        <v>669</v>
      </c>
      <c r="B14" s="115" t="s">
        <v>675</v>
      </c>
      <c r="C14" s="117" cm="1">
        <f t="array" aca="1" ref="C14" ca="1">_xlfn.XLOOKUP(Tableau1[[#This Row],[Bloc de critères]] &amp; Tableau1[[#This Row],[Rubrique]], INDIRECT($O$3&amp;"!A:A") &amp; INDIRECT($O$3&amp;"!B:B"), INDIRECT($O$3&amp;"!F:F"))</f>
        <v>0</v>
      </c>
      <c r="D14" s="116" cm="1">
        <f t="array" aca="1" ref="D14" ca="1">_xlfn.XLOOKUP(Tableau1[[#This Row],[Bloc de critères]] &amp; Tableau1[[#This Row],[Rubrique]], INDIRECT($O$3&amp;"!A:A") &amp; INDIRECT($O$3&amp;"!B:B"), INDIRECT($O$3&amp;"!J:J"))</f>
        <v>0</v>
      </c>
    </row>
    <row r="15" spans="1:16" ht="22.8" x14ac:dyDescent="0.3">
      <c r="A15" s="115" t="s">
        <v>676</v>
      </c>
      <c r="B15" s="115" t="s">
        <v>677</v>
      </c>
      <c r="C15" s="117" cm="1">
        <f t="array" aca="1" ref="C15" ca="1">_xlfn.XLOOKUP(Tableau1[[#This Row],[Bloc de critères]] &amp; Tableau1[[#This Row],[Rubrique]], INDIRECT($O$3&amp;"!A:A") &amp; INDIRECT($O$3&amp;"!B:B"), INDIRECT($O$3&amp;"!F:F"))</f>
        <v>0</v>
      </c>
      <c r="D15" s="116" cm="1">
        <f t="array" aca="1" ref="D15" ca="1">_xlfn.XLOOKUP(Tableau1[[#This Row],[Bloc de critères]] &amp; Tableau1[[#This Row],[Rubrique]], INDIRECT($O$3&amp;"!A:A") &amp; INDIRECT($O$3&amp;"!B:B"), INDIRECT($O$3&amp;"!J:J"))</f>
        <v>0</v>
      </c>
    </row>
    <row r="16" spans="1:16" x14ac:dyDescent="0.3">
      <c r="A16" s="115" t="s">
        <v>676</v>
      </c>
      <c r="B16" s="115" t="s">
        <v>678</v>
      </c>
      <c r="C16" s="117" t="str" cm="1">
        <f t="array" aca="1" ref="C16" ca="1">_xlfn.XLOOKUP(Tableau1[[#This Row],[Bloc de critères]] &amp; Tableau1[[#This Row],[Rubrique]], INDIRECT($O$3&amp;"!A:A") &amp; INDIRECT($O$3&amp;"!B:B"), INDIRECT($O$3&amp;"!F:F"))</f>
        <v>Non appliqué</v>
      </c>
      <c r="D16" s="116" t="str" cm="1">
        <f t="array" aca="1" ref="D16" ca="1">_xlfn.XLOOKUP(Tableau1[[#This Row],[Bloc de critères]] &amp; Tableau1[[#This Row],[Rubrique]], INDIRECT($O$3&amp;"!A:A") &amp; INDIRECT($O$3&amp;"!B:B"), INDIRECT($O$3&amp;"!J:J"))</f>
        <v>Non appliqué</v>
      </c>
    </row>
    <row r="17" spans="1:4" x14ac:dyDescent="0.3">
      <c r="A17" s="115" t="s">
        <v>680</v>
      </c>
      <c r="B17" s="115" t="s">
        <v>682</v>
      </c>
      <c r="C17" s="117" t="str" cm="1">
        <f t="array" aca="1" ref="C17" ca="1">_xlfn.XLOOKUP(Tableau1[[#This Row],[Bloc de critères]] &amp; Tableau1[[#This Row],[Rubrique]], INDIRECT($O$3&amp;"!A:A") &amp; INDIRECT($O$3&amp;"!B:B"), INDIRECT($O$3&amp;"!F:F"))</f>
        <v>Non appliqué</v>
      </c>
      <c r="D17" s="116" cm="1">
        <f t="array" aca="1" ref="D17" ca="1">_xlfn.XLOOKUP(Tableau1[[#This Row],[Bloc de critères]] &amp; Tableau1[[#This Row],[Rubrique]], INDIRECT($O$3&amp;"!A:A") &amp; INDIRECT($O$3&amp;"!B:B"), INDIRECT($O$3&amp;"!J:J"))</f>
        <v>0</v>
      </c>
    </row>
    <row r="18" spans="1:4" ht="22.8" x14ac:dyDescent="0.3">
      <c r="A18" s="115" t="s">
        <v>680</v>
      </c>
      <c r="B18" s="115" t="s">
        <v>685</v>
      </c>
      <c r="C18" s="117" t="str" cm="1">
        <f t="array" aca="1" ref="C18" ca="1">_xlfn.XLOOKUP(Tableau1[[#This Row],[Bloc de critères]] &amp; Tableau1[[#This Row],[Rubrique]], INDIRECT($O$3&amp;"!A:A") &amp; INDIRECT($O$3&amp;"!B:B"), INDIRECT($O$3&amp;"!F:F"))</f>
        <v>Non appliqué</v>
      </c>
      <c r="D18" s="116" cm="1">
        <f t="array" aca="1" ref="D18" ca="1">_xlfn.XLOOKUP(Tableau1[[#This Row],[Bloc de critères]] &amp; Tableau1[[#This Row],[Rubrique]], INDIRECT($O$3&amp;"!A:A") &amp; INDIRECT($O$3&amp;"!B:B"), INDIRECT($O$3&amp;"!J:J"))</f>
        <v>0</v>
      </c>
    </row>
    <row r="19" spans="1:4" x14ac:dyDescent="0.3">
      <c r="A19" s="115" t="s">
        <v>686</v>
      </c>
      <c r="B19" s="115" t="s">
        <v>682</v>
      </c>
      <c r="C19" s="117" t="str" cm="1">
        <f t="array" aca="1" ref="C19" ca="1">_xlfn.XLOOKUP(Tableau1[[#This Row],[Bloc de critères]] &amp; Tableau1[[#This Row],[Rubrique]], INDIRECT($O$3&amp;"!A:A") &amp; INDIRECT($O$3&amp;"!B:B"), INDIRECT($O$3&amp;"!F:F"))</f>
        <v>Non appliqué</v>
      </c>
      <c r="D19" s="116" t="str" cm="1">
        <f t="array" aca="1" ref="D19" ca="1">_xlfn.XLOOKUP(Tableau1[[#This Row],[Bloc de critères]] &amp; Tableau1[[#This Row],[Rubrique]], INDIRECT($O$3&amp;"!A:A") &amp; INDIRECT($O$3&amp;"!B:B"), INDIRECT($O$3&amp;"!J:J"))</f>
        <v>Non appliqué</v>
      </c>
    </row>
    <row r="20" spans="1:4" ht="22.8" x14ac:dyDescent="0.3">
      <c r="A20" s="115" t="s">
        <v>686</v>
      </c>
      <c r="B20" s="115" t="s">
        <v>685</v>
      </c>
      <c r="C20" s="117" t="str" cm="1">
        <f t="array" aca="1" ref="C20" ca="1">_xlfn.XLOOKUP(Tableau1[[#This Row],[Bloc de critères]] &amp; Tableau1[[#This Row],[Rubrique]], INDIRECT($O$3&amp;"!A:A") &amp; INDIRECT($O$3&amp;"!B:B"), INDIRECT($O$3&amp;"!F:F"))</f>
        <v>Non appliqué</v>
      </c>
      <c r="D20" s="116" t="str" cm="1">
        <f t="array" aca="1" ref="D20" ca="1">_xlfn.XLOOKUP(Tableau1[[#This Row],[Bloc de critères]] &amp; Tableau1[[#This Row],[Rubrique]], INDIRECT($O$3&amp;"!A:A") &amp; INDIRECT($O$3&amp;"!B:B"), INDIRECT($O$3&amp;"!J:J"))</f>
        <v>Non appliqué</v>
      </c>
    </row>
    <row r="21" spans="1:4" ht="22.8" x14ac:dyDescent="0.3">
      <c r="A21" s="115" t="s">
        <v>692</v>
      </c>
      <c r="B21" s="115" t="s">
        <v>682</v>
      </c>
      <c r="C21" s="117" t="str" cm="1">
        <f t="array" aca="1" ref="C21" ca="1">_xlfn.XLOOKUP(Tableau1[[#This Row],[Bloc de critères]] &amp; Tableau1[[#This Row],[Rubrique]], INDIRECT($O$3&amp;"!A:A") &amp; INDIRECT($O$3&amp;"!B:B"), INDIRECT($O$3&amp;"!F:F"))</f>
        <v>Non appliqué</v>
      </c>
      <c r="D21" s="116" t="str" cm="1">
        <f t="array" aca="1" ref="D21" ca="1">_xlfn.XLOOKUP(Tableau1[[#This Row],[Bloc de critères]] &amp; Tableau1[[#This Row],[Rubrique]], INDIRECT($O$3&amp;"!A:A") &amp; INDIRECT($O$3&amp;"!B:B"), INDIRECT($O$3&amp;"!J:J"))</f>
        <v>Non appliqué</v>
      </c>
    </row>
    <row r="22" spans="1:4" ht="22.8" x14ac:dyDescent="0.3">
      <c r="A22" s="115" t="s">
        <v>692</v>
      </c>
      <c r="B22" s="115" t="s">
        <v>685</v>
      </c>
      <c r="C22" s="117" t="str" cm="1">
        <f t="array" aca="1" ref="C22" ca="1">_xlfn.XLOOKUP(Tableau1[[#This Row],[Bloc de critères]] &amp; Tableau1[[#This Row],[Rubrique]], INDIRECT($O$3&amp;"!A:A") &amp; INDIRECT($O$3&amp;"!B:B"), INDIRECT($O$3&amp;"!F:F"))</f>
        <v>Non appliqué</v>
      </c>
      <c r="D22" s="116" t="str" cm="1">
        <f t="array" aca="1" ref="D22" ca="1">_xlfn.XLOOKUP(Tableau1[[#This Row],[Bloc de critères]] &amp; Tableau1[[#This Row],[Rubrique]], INDIRECT($O$3&amp;"!A:A") &amp; INDIRECT($O$3&amp;"!B:B"), INDIRECT($O$3&amp;"!J:J"))</f>
        <v>Non appliqué</v>
      </c>
    </row>
    <row r="23" spans="1:4" x14ac:dyDescent="0.3">
      <c r="A23" s="115" t="s">
        <v>694</v>
      </c>
      <c r="B23" s="115" t="s">
        <v>682</v>
      </c>
      <c r="C23" s="117" t="str" cm="1">
        <f t="array" aca="1" ref="C23" ca="1">_xlfn.XLOOKUP(Tableau1[[#This Row],[Bloc de critères]] &amp; Tableau1[[#This Row],[Rubrique]], INDIRECT($O$3&amp;"!A:A") &amp; INDIRECT($O$3&amp;"!B:B"), INDIRECT($O$3&amp;"!F:F"))</f>
        <v>Non appliqué</v>
      </c>
      <c r="D23" s="116" t="str" cm="1">
        <f t="array" aca="1" ref="D23" ca="1">_xlfn.XLOOKUP(Tableau1[[#This Row],[Bloc de critères]] &amp; Tableau1[[#This Row],[Rubrique]], INDIRECT($O$3&amp;"!A:A") &amp; INDIRECT($O$3&amp;"!B:B"), INDIRECT($O$3&amp;"!J:J"))</f>
        <v>Non appliqué</v>
      </c>
    </row>
    <row r="24" spans="1:4" ht="22.8" x14ac:dyDescent="0.3">
      <c r="A24" s="115" t="s">
        <v>694</v>
      </c>
      <c r="B24" s="115" t="s">
        <v>685</v>
      </c>
      <c r="C24" s="117" t="str" cm="1">
        <f t="array" aca="1" ref="C24" ca="1">_xlfn.XLOOKUP(Tableau1[[#This Row],[Bloc de critères]] &amp; Tableau1[[#This Row],[Rubrique]], INDIRECT($O$3&amp;"!A:A") &amp; INDIRECT($O$3&amp;"!B:B"), INDIRECT($O$3&amp;"!F:F"))</f>
        <v>Non appliqué</v>
      </c>
      <c r="D24" s="116" t="str" cm="1">
        <f t="array" aca="1" ref="D24" ca="1">_xlfn.XLOOKUP(Tableau1[[#This Row],[Bloc de critères]] &amp; Tableau1[[#This Row],[Rubrique]], INDIRECT($O$3&amp;"!A:A") &amp; INDIRECT($O$3&amp;"!B:B"), INDIRECT($O$3&amp;"!J:J"))</f>
        <v>Non appliqué</v>
      </c>
    </row>
    <row r="25" spans="1:4" ht="34.200000000000003" x14ac:dyDescent="0.3">
      <c r="A25" s="115" t="s">
        <v>699</v>
      </c>
      <c r="B25" s="115" t="s">
        <v>701</v>
      </c>
      <c r="C25" s="117" t="str" cm="1">
        <f t="array" aca="1" ref="C25" ca="1">_xlfn.XLOOKUP(Tableau1[[#This Row],[Bloc de critères]] &amp; Tableau1[[#This Row],[Rubrique]], INDIRECT($O$3&amp;"!A:A") &amp; INDIRECT($O$3&amp;"!B:B"), INDIRECT($O$3&amp;"!F:F"))</f>
        <v>Non appliqué</v>
      </c>
      <c r="D25" s="116" t="str" cm="1">
        <f t="array" aca="1" ref="D25" ca="1">_xlfn.XLOOKUP(Tableau1[[#This Row],[Bloc de critères]] &amp; Tableau1[[#This Row],[Rubrique]], INDIRECT($O$3&amp;"!A:A") &amp; INDIRECT($O$3&amp;"!B:B"), INDIRECT($O$3&amp;"!J:J"))</f>
        <v>Non appliqué</v>
      </c>
    </row>
    <row r="26" spans="1:4" ht="34.200000000000003" x14ac:dyDescent="0.3">
      <c r="A26" s="115" t="s">
        <v>699</v>
      </c>
      <c r="B26" s="115" t="s">
        <v>702</v>
      </c>
      <c r="C26" s="117" t="str" cm="1">
        <f t="array" aca="1" ref="C26" ca="1">_xlfn.XLOOKUP(Tableau1[[#This Row],[Bloc de critères]] &amp; Tableau1[[#This Row],[Rubrique]], INDIRECT($O$3&amp;"!A:A") &amp; INDIRECT($O$3&amp;"!B:B"), INDIRECT($O$3&amp;"!F:F"))</f>
        <v>Non appliqué</v>
      </c>
      <c r="D26" s="116" t="str" cm="1">
        <f t="array" aca="1" ref="D26" ca="1">_xlfn.XLOOKUP(Tableau1[[#This Row],[Bloc de critères]] &amp; Tableau1[[#This Row],[Rubrique]], INDIRECT($O$3&amp;"!A:A") &amp; INDIRECT($O$3&amp;"!B:B"), INDIRECT($O$3&amp;"!J:J"))</f>
        <v>Non appliqué</v>
      </c>
    </row>
    <row r="27" spans="1:4" ht="34.200000000000003" x14ac:dyDescent="0.3">
      <c r="A27" s="115" t="s">
        <v>699</v>
      </c>
      <c r="B27" s="115" t="s">
        <v>703</v>
      </c>
      <c r="C27" s="117" t="str" cm="1">
        <f t="array" aca="1" ref="C27" ca="1">_xlfn.XLOOKUP(Tableau1[[#This Row],[Bloc de critères]] &amp; Tableau1[[#This Row],[Rubrique]], INDIRECT($O$3&amp;"!A:A") &amp; INDIRECT($O$3&amp;"!B:B"), INDIRECT($O$3&amp;"!F:F"))</f>
        <v>Non appliqué</v>
      </c>
      <c r="D27" s="116" t="str" cm="1">
        <f t="array" aca="1" ref="D27" ca="1">_xlfn.XLOOKUP(Tableau1[[#This Row],[Bloc de critères]] &amp; Tableau1[[#This Row],[Rubrique]], INDIRECT($O$3&amp;"!A:A") &amp; INDIRECT($O$3&amp;"!B:B"), INDIRECT($O$3&amp;"!J:J"))</f>
        <v>Non appliqué</v>
      </c>
    </row>
    <row r="28" spans="1:4" ht="22.8" x14ac:dyDescent="0.3">
      <c r="A28" s="115" t="s">
        <v>704</v>
      </c>
      <c r="B28" s="115" t="s">
        <v>706</v>
      </c>
      <c r="C28" s="117" t="str" cm="1">
        <f t="array" aca="1" ref="C28" ca="1">_xlfn.XLOOKUP(Tableau1[[#This Row],[Bloc de critères]] &amp; Tableau1[[#This Row],[Rubrique]], INDIRECT($O$3&amp;"!A:A") &amp; INDIRECT($O$3&amp;"!B:B"), INDIRECT($O$3&amp;"!F:F"))</f>
        <v>Non appliqué</v>
      </c>
      <c r="D28" s="116" t="str" cm="1">
        <f t="array" aca="1" ref="D28" ca="1">_xlfn.XLOOKUP(Tableau1[[#This Row],[Bloc de critères]] &amp; Tableau1[[#This Row],[Rubrique]], INDIRECT($O$3&amp;"!A:A") &amp; INDIRECT($O$3&amp;"!B:B"), INDIRECT($O$3&amp;"!J:J"))</f>
        <v>Non appliqué</v>
      </c>
    </row>
    <row r="29" spans="1:4" x14ac:dyDescent="0.3">
      <c r="A29" s="115" t="s">
        <v>704</v>
      </c>
      <c r="B29" s="115" t="s">
        <v>707</v>
      </c>
      <c r="C29" s="117" t="str" cm="1">
        <f t="array" aca="1" ref="C29" ca="1">_xlfn.XLOOKUP(Tableau1[[#This Row],[Bloc de critères]] &amp; Tableau1[[#This Row],[Rubrique]], INDIRECT($O$3&amp;"!A:A") &amp; INDIRECT($O$3&amp;"!B:B"), INDIRECT($O$3&amp;"!F:F"))</f>
        <v>Non appliqué</v>
      </c>
      <c r="D29" s="116" t="str" cm="1">
        <f t="array" aca="1" ref="D29" ca="1">_xlfn.XLOOKUP(Tableau1[[#This Row],[Bloc de critères]] &amp; Tableau1[[#This Row],[Rubrique]], INDIRECT($O$3&amp;"!A:A") &amp; INDIRECT($O$3&amp;"!B:B"), INDIRECT($O$3&amp;"!J:J"))</f>
        <v>Non appliqué</v>
      </c>
    </row>
    <row r="30" spans="1:4" x14ac:dyDescent="0.3">
      <c r="A30" s="115" t="s">
        <v>704</v>
      </c>
      <c r="B30" s="115" t="s">
        <v>709</v>
      </c>
      <c r="C30" s="117" t="str" cm="1">
        <f t="array" aca="1" ref="C30" ca="1">_xlfn.XLOOKUP(Tableau1[[#This Row],[Bloc de critères]] &amp; Tableau1[[#This Row],[Rubrique]], INDIRECT($O$3&amp;"!A:A") &amp; INDIRECT($O$3&amp;"!B:B"), INDIRECT($O$3&amp;"!F:F"))</f>
        <v>Non appliqué</v>
      </c>
      <c r="D30" s="116" t="str" cm="1">
        <f t="array" aca="1" ref="D30" ca="1">_xlfn.XLOOKUP(Tableau1[[#This Row],[Bloc de critères]] &amp; Tableau1[[#This Row],[Rubrique]], INDIRECT($O$3&amp;"!A:A") &amp; INDIRECT($O$3&amp;"!B:B"), INDIRECT($O$3&amp;"!J:J"))</f>
        <v>Non appliqué</v>
      </c>
    </row>
    <row r="31" spans="1:4" x14ac:dyDescent="0.3">
      <c r="A31" s="115" t="s">
        <v>704</v>
      </c>
      <c r="B31" s="115" t="s">
        <v>710</v>
      </c>
      <c r="C31" s="117" t="str" cm="1">
        <f t="array" aca="1" ref="C31" ca="1">_xlfn.XLOOKUP(Tableau1[[#This Row],[Bloc de critères]] &amp; Tableau1[[#This Row],[Rubrique]], INDIRECT($O$3&amp;"!A:A") &amp; INDIRECT($O$3&amp;"!B:B"), INDIRECT($O$3&amp;"!F:F"))</f>
        <v>Non appliqué</v>
      </c>
      <c r="D31" s="116" t="str" cm="1">
        <f t="array" aca="1" ref="D31" ca="1">_xlfn.XLOOKUP(Tableau1[[#This Row],[Bloc de critères]] &amp; Tableau1[[#This Row],[Rubrique]], INDIRECT($O$3&amp;"!A:A") &amp; INDIRECT($O$3&amp;"!B:B"), INDIRECT($O$3&amp;"!J:J"))</f>
        <v>Non appliqué</v>
      </c>
    </row>
    <row r="32" spans="1:4" x14ac:dyDescent="0.3">
      <c r="A32" s="115" t="s">
        <v>704</v>
      </c>
      <c r="B32" s="115" t="s">
        <v>712</v>
      </c>
      <c r="C32" s="117" t="str" cm="1">
        <f t="array" aca="1" ref="C32" ca="1">_xlfn.XLOOKUP(Tableau1[[#This Row],[Bloc de critères]] &amp; Tableau1[[#This Row],[Rubrique]], INDIRECT($O$3&amp;"!A:A") &amp; INDIRECT($O$3&amp;"!B:B"), INDIRECT($O$3&amp;"!F:F"))</f>
        <v>Non appliqué</v>
      </c>
      <c r="D32" s="116" t="str" cm="1">
        <f t="array" aca="1" ref="D32" ca="1">_xlfn.XLOOKUP(Tableau1[[#This Row],[Bloc de critères]] &amp; Tableau1[[#This Row],[Rubrique]], INDIRECT($O$3&amp;"!A:A") &amp; INDIRECT($O$3&amp;"!B:B"), INDIRECT($O$3&amp;"!J:J"))</f>
        <v>Non appliqué</v>
      </c>
    </row>
    <row r="33" spans="1:4" ht="22.8" x14ac:dyDescent="0.3">
      <c r="A33" s="115" t="s">
        <v>704</v>
      </c>
      <c r="B33" s="115" t="s">
        <v>715</v>
      </c>
      <c r="C33" s="117" t="str" cm="1">
        <f t="array" aca="1" ref="C33" ca="1">_xlfn.XLOOKUP(Tableau1[[#This Row],[Bloc de critères]] &amp; Tableau1[[#This Row],[Rubrique]], INDIRECT($O$3&amp;"!A:A") &amp; INDIRECT($O$3&amp;"!B:B"), INDIRECT($O$3&amp;"!F:F"))</f>
        <v>Non appliqué</v>
      </c>
      <c r="D33" s="116" t="str" cm="1">
        <f t="array" aca="1" ref="D33" ca="1">_xlfn.XLOOKUP(Tableau1[[#This Row],[Bloc de critères]] &amp; Tableau1[[#This Row],[Rubrique]], INDIRECT($O$3&amp;"!A:A") &amp; INDIRECT($O$3&amp;"!B:B"), INDIRECT($O$3&amp;"!J:J"))</f>
        <v>Non appliqué</v>
      </c>
    </row>
    <row r="34" spans="1:4" x14ac:dyDescent="0.3">
      <c r="A34" s="115" t="s">
        <v>704</v>
      </c>
      <c r="B34" s="115" t="s">
        <v>717</v>
      </c>
      <c r="C34" s="117" t="str" cm="1">
        <f t="array" aca="1" ref="C34" ca="1">_xlfn.XLOOKUP(Tableau1[[#This Row],[Bloc de critères]] &amp; Tableau1[[#This Row],[Rubrique]], INDIRECT($O$3&amp;"!A:A") &amp; INDIRECT($O$3&amp;"!B:B"), INDIRECT($O$3&amp;"!F:F"))</f>
        <v>Non appliqué</v>
      </c>
      <c r="D34" s="116" t="str" cm="1">
        <f t="array" aca="1" ref="D34" ca="1">_xlfn.XLOOKUP(Tableau1[[#This Row],[Bloc de critères]] &amp; Tableau1[[#This Row],[Rubrique]], INDIRECT($O$3&amp;"!A:A") &amp; INDIRECT($O$3&amp;"!B:B"), INDIRECT($O$3&amp;"!J:J"))</f>
        <v>Non appliqué</v>
      </c>
    </row>
    <row r="35" spans="1:4" ht="22.8" x14ac:dyDescent="0.3">
      <c r="A35" s="115" t="s">
        <v>704</v>
      </c>
      <c r="B35" s="115" t="s">
        <v>718</v>
      </c>
      <c r="C35" s="117" t="str" cm="1">
        <f t="array" aca="1" ref="C35" ca="1">_xlfn.XLOOKUP(Tableau1[[#This Row],[Bloc de critères]] &amp; Tableau1[[#This Row],[Rubrique]], INDIRECT($O$3&amp;"!A:A") &amp; INDIRECT($O$3&amp;"!B:B"), INDIRECT($O$3&amp;"!F:F"))</f>
        <v>Non appliqué</v>
      </c>
      <c r="D35" s="116" t="str" cm="1">
        <f t="array" aca="1" ref="D35" ca="1">_xlfn.XLOOKUP(Tableau1[[#This Row],[Bloc de critères]] &amp; Tableau1[[#This Row],[Rubrique]], INDIRECT($O$3&amp;"!A:A") &amp; INDIRECT($O$3&amp;"!B:B"), INDIRECT($O$3&amp;"!J:J"))</f>
        <v>Non appliqué</v>
      </c>
    </row>
    <row r="36" spans="1:4" x14ac:dyDescent="0.3">
      <c r="A36" s="115" t="s">
        <v>21</v>
      </c>
      <c r="B36" s="115" t="s">
        <v>682</v>
      </c>
      <c r="C36" s="117" t="str" cm="1">
        <f t="array" aca="1" ref="C36" ca="1">_xlfn.XLOOKUP(Tableau1[[#This Row],[Bloc de critères]] &amp; Tableau1[[#This Row],[Rubrique]], INDIRECT($O$3&amp;"!A:A") &amp; INDIRECT($O$3&amp;"!B:B"), INDIRECT($O$3&amp;"!F:F"))</f>
        <v>Non appliqué</v>
      </c>
      <c r="D36" s="116" t="str" cm="1">
        <f t="array" aca="1" ref="D36" ca="1">_xlfn.XLOOKUP(Tableau1[[#This Row],[Bloc de critères]] &amp; Tableau1[[#This Row],[Rubrique]], INDIRECT($O$3&amp;"!A:A") &amp; INDIRECT($O$3&amp;"!B:B"), INDIRECT($O$3&amp;"!J:J"))</f>
        <v>Non appliqué</v>
      </c>
    </row>
    <row r="37" spans="1:4" ht="22.8" x14ac:dyDescent="0.3">
      <c r="A37" s="115" t="s">
        <v>21</v>
      </c>
      <c r="B37" s="115" t="s">
        <v>720</v>
      </c>
      <c r="C37" s="117" t="str" cm="1">
        <f t="array" aca="1" ref="C37" ca="1">_xlfn.XLOOKUP(Tableau1[[#This Row],[Bloc de critères]] &amp; Tableau1[[#This Row],[Rubrique]], INDIRECT($O$3&amp;"!A:A") &amp; INDIRECT($O$3&amp;"!B:B"), INDIRECT($O$3&amp;"!F:F"))</f>
        <v>Non appliqué</v>
      </c>
      <c r="D37" s="116" t="str" cm="1">
        <f t="array" aca="1" ref="D37" ca="1">_xlfn.XLOOKUP(Tableau1[[#This Row],[Bloc de critères]] &amp; Tableau1[[#This Row],[Rubrique]], INDIRECT($O$3&amp;"!A:A") &amp; INDIRECT($O$3&amp;"!B:B"), INDIRECT($O$3&amp;"!J:J"))</f>
        <v>Non appliqué</v>
      </c>
    </row>
    <row r="38" spans="1:4" ht="22.8" x14ac:dyDescent="0.3">
      <c r="A38" s="115" t="s">
        <v>21</v>
      </c>
      <c r="B38" s="115" t="s">
        <v>722</v>
      </c>
      <c r="C38" s="117" t="str" cm="1">
        <f t="array" aca="1" ref="C38" ca="1">_xlfn.XLOOKUP(Tableau1[[#This Row],[Bloc de critères]] &amp; Tableau1[[#This Row],[Rubrique]], INDIRECT($O$3&amp;"!A:A") &amp; INDIRECT($O$3&amp;"!B:B"), INDIRECT($O$3&amp;"!F:F"))</f>
        <v>Non appliqué</v>
      </c>
      <c r="D38" s="116" t="str" cm="1">
        <f t="array" aca="1" ref="D38" ca="1">_xlfn.XLOOKUP(Tableau1[[#This Row],[Bloc de critères]] &amp; Tableau1[[#This Row],[Rubrique]], INDIRECT($O$3&amp;"!A:A") &amp; INDIRECT($O$3&amp;"!B:B"), INDIRECT($O$3&amp;"!J:J"))</f>
        <v>Non appliqué</v>
      </c>
    </row>
    <row r="39" spans="1:4" x14ac:dyDescent="0.3">
      <c r="A39" s="115" t="s">
        <v>21</v>
      </c>
      <c r="B39" s="115" t="s">
        <v>724</v>
      </c>
      <c r="C39" s="117" t="str" cm="1">
        <f t="array" aca="1" ref="C39" ca="1">_xlfn.XLOOKUP(Tableau1[[#This Row],[Bloc de critères]] &amp; Tableau1[[#This Row],[Rubrique]], INDIRECT($O$3&amp;"!A:A") &amp; INDIRECT($O$3&amp;"!B:B"), INDIRECT($O$3&amp;"!F:F"))</f>
        <v>Non appliqué</v>
      </c>
      <c r="D39" s="116" t="str" cm="1">
        <f t="array" aca="1" ref="D39" ca="1">_xlfn.XLOOKUP(Tableau1[[#This Row],[Bloc de critères]] &amp; Tableau1[[#This Row],[Rubrique]], INDIRECT($O$3&amp;"!A:A") &amp; INDIRECT($O$3&amp;"!B:B"), INDIRECT($O$3&amp;"!J:J"))</f>
        <v>Non appliqué</v>
      </c>
    </row>
    <row r="40" spans="1:4" ht="22.8" x14ac:dyDescent="0.3">
      <c r="A40" s="115" t="s">
        <v>21</v>
      </c>
      <c r="B40" s="115" t="s">
        <v>725</v>
      </c>
      <c r="C40" s="117" t="str" cm="1">
        <f t="array" aca="1" ref="C40" ca="1">_xlfn.XLOOKUP(Tableau1[[#This Row],[Bloc de critères]] &amp; Tableau1[[#This Row],[Rubrique]], INDIRECT($O$3&amp;"!A:A") &amp; INDIRECT($O$3&amp;"!B:B"), INDIRECT($O$3&amp;"!F:F"))</f>
        <v>Non appliqué</v>
      </c>
      <c r="D40" s="116" t="str" cm="1">
        <f t="array" aca="1" ref="D40" ca="1">_xlfn.XLOOKUP(Tableau1[[#This Row],[Bloc de critères]] &amp; Tableau1[[#This Row],[Rubrique]], INDIRECT($O$3&amp;"!A:A") &amp; INDIRECT($O$3&amp;"!B:B"), INDIRECT($O$3&amp;"!J:J"))</f>
        <v>Non appliqué</v>
      </c>
    </row>
    <row r="41" spans="1:4" ht="22.8" x14ac:dyDescent="0.3">
      <c r="A41" s="115" t="s">
        <v>729</v>
      </c>
      <c r="B41" s="115" t="s">
        <v>729</v>
      </c>
      <c r="C41" s="117" t="str" cm="1">
        <f t="array" aca="1" ref="C41" ca="1">_xlfn.XLOOKUP(Tableau1[[#This Row],[Bloc de critères]] &amp; Tableau1[[#This Row],[Rubrique]], INDIRECT($O$3&amp;"!A:A") &amp; INDIRECT($O$3&amp;"!B:B"), INDIRECT($O$3&amp;"!F:F"))</f>
        <v>Non appliqué</v>
      </c>
      <c r="D41" s="116" t="str" cm="1">
        <f t="array" aca="1" ref="D41" ca="1">_xlfn.XLOOKUP(Tableau1[[#This Row],[Bloc de critères]] &amp; Tableau1[[#This Row],[Rubrique]], INDIRECT($O$3&amp;"!A:A") &amp; INDIRECT($O$3&amp;"!B:B"), INDIRECT($O$3&amp;"!J:J"))</f>
        <v>Non appliqué</v>
      </c>
    </row>
    <row r="42" spans="1:4" ht="22.8" x14ac:dyDescent="0.3">
      <c r="A42" s="115" t="s">
        <v>731</v>
      </c>
      <c r="B42" s="115" t="s">
        <v>733</v>
      </c>
      <c r="C42" s="117" t="str" cm="1">
        <f t="array" aca="1" ref="C42" ca="1">_xlfn.XLOOKUP(Tableau1[[#This Row],[Bloc de critères]] &amp; Tableau1[[#This Row],[Rubrique]], INDIRECT($O$3&amp;"!A:A") &amp; INDIRECT($O$3&amp;"!B:B"), INDIRECT($O$3&amp;"!F:F"))</f>
        <v>Non appliqué</v>
      </c>
      <c r="D42" s="116" t="str" cm="1">
        <f t="array" aca="1" ref="D42" ca="1">_xlfn.XLOOKUP(Tableau1[[#This Row],[Bloc de critères]] &amp; Tableau1[[#This Row],[Rubrique]], INDIRECT($O$3&amp;"!A:A") &amp; INDIRECT($O$3&amp;"!B:B"), INDIRECT($O$3&amp;"!J:J"))</f>
        <v>Non appliqué</v>
      </c>
    </row>
    <row r="43" spans="1:4" ht="34.200000000000003" x14ac:dyDescent="0.3">
      <c r="A43" s="115" t="s">
        <v>731</v>
      </c>
      <c r="B43" s="115" t="s">
        <v>734</v>
      </c>
      <c r="C43" s="117" t="str" cm="1">
        <f t="array" aca="1" ref="C43" ca="1">_xlfn.XLOOKUP(Tableau1[[#This Row],[Bloc de critères]] &amp; Tableau1[[#This Row],[Rubrique]], INDIRECT($O$3&amp;"!A:A") &amp; INDIRECT($O$3&amp;"!B:B"), INDIRECT($O$3&amp;"!F:F"))</f>
        <v>Non appliqué</v>
      </c>
      <c r="D43" s="116" t="str" cm="1">
        <f t="array" aca="1" ref="D43" ca="1">_xlfn.XLOOKUP(Tableau1[[#This Row],[Bloc de critères]] &amp; Tableau1[[#This Row],[Rubrique]], INDIRECT($O$3&amp;"!A:A") &amp; INDIRECT($O$3&amp;"!B:B"), INDIRECT($O$3&amp;"!J:J"))</f>
        <v>Non appliqué</v>
      </c>
    </row>
    <row r="44" spans="1:4" ht="34.200000000000003" x14ac:dyDescent="0.3">
      <c r="A44" s="115" t="s">
        <v>731</v>
      </c>
      <c r="B44" s="115" t="s">
        <v>735</v>
      </c>
      <c r="C44" s="117" t="str" cm="1">
        <f t="array" aca="1" ref="C44" ca="1">_xlfn.XLOOKUP(Tableau1[[#This Row],[Bloc de critères]] &amp; Tableau1[[#This Row],[Rubrique]], INDIRECT($O$3&amp;"!A:A") &amp; INDIRECT($O$3&amp;"!B:B"), INDIRECT($O$3&amp;"!F:F"))</f>
        <v>Non appliqué</v>
      </c>
      <c r="D44" s="116" t="str" cm="1">
        <f t="array" aca="1" ref="D44" ca="1">_xlfn.XLOOKUP(Tableau1[[#This Row],[Bloc de critères]] &amp; Tableau1[[#This Row],[Rubrique]], INDIRECT($O$3&amp;"!A:A") &amp; INDIRECT($O$3&amp;"!B:B"), INDIRECT($O$3&amp;"!J:J"))</f>
        <v>Non appliqué</v>
      </c>
    </row>
    <row r="45" spans="1:4" ht="34.200000000000003" x14ac:dyDescent="0.3">
      <c r="A45" s="115" t="s">
        <v>731</v>
      </c>
      <c r="B45" s="115" t="s">
        <v>736</v>
      </c>
      <c r="C45" s="117" t="str" cm="1">
        <f t="array" aca="1" ref="C45" ca="1">_xlfn.XLOOKUP(Tableau1[[#This Row],[Bloc de critères]] &amp; Tableau1[[#This Row],[Rubrique]], INDIRECT($O$3&amp;"!A:A") &amp; INDIRECT($O$3&amp;"!B:B"), INDIRECT($O$3&amp;"!F:F"))</f>
        <v>Non appliqué</v>
      </c>
      <c r="D45" s="116" t="str" cm="1">
        <f t="array" aca="1" ref="D45" ca="1">_xlfn.XLOOKUP(Tableau1[[#This Row],[Bloc de critères]] &amp; Tableau1[[#This Row],[Rubrique]], INDIRECT($O$3&amp;"!A:A") &amp; INDIRECT($O$3&amp;"!B:B"), INDIRECT($O$3&amp;"!J:J"))</f>
        <v>Non appliqué</v>
      </c>
    </row>
    <row r="46" spans="1:4" ht="45.6" x14ac:dyDescent="0.3">
      <c r="A46" s="115" t="s">
        <v>731</v>
      </c>
      <c r="B46" s="115" t="s">
        <v>737</v>
      </c>
      <c r="C46" s="117" t="str" cm="1">
        <f t="array" aca="1" ref="C46" ca="1">_xlfn.XLOOKUP(Tableau1[[#This Row],[Bloc de critères]] &amp; Tableau1[[#This Row],[Rubrique]], INDIRECT($O$3&amp;"!A:A") &amp; INDIRECT($O$3&amp;"!B:B"), INDIRECT($O$3&amp;"!F:F"))</f>
        <v>Non appliqué</v>
      </c>
      <c r="D46" s="116" t="str" cm="1">
        <f t="array" aca="1" ref="D46" ca="1">_xlfn.XLOOKUP(Tableau1[[#This Row],[Bloc de critères]] &amp; Tableau1[[#This Row],[Rubrique]], INDIRECT($O$3&amp;"!A:A") &amp; INDIRECT($O$3&amp;"!B:B"), INDIRECT($O$3&amp;"!J:J"))</f>
        <v>Non appliqué</v>
      </c>
    </row>
    <row r="47" spans="1:4" x14ac:dyDescent="0.3">
      <c r="A47" s="115" t="s">
        <v>738</v>
      </c>
      <c r="B47" s="115" t="s">
        <v>738</v>
      </c>
      <c r="C47" s="117" t="str" cm="1">
        <f t="array" aca="1" ref="C47" ca="1">_xlfn.XLOOKUP(Tableau1[[#This Row],[Bloc de critères]] &amp; Tableau1[[#This Row],[Rubrique]], INDIRECT($O$3&amp;"!A:A") &amp; INDIRECT($O$3&amp;"!B:B"), INDIRECT($O$3&amp;"!F:F"))</f>
        <v>Non appliqué</v>
      </c>
      <c r="D47" s="116" t="str" cm="1">
        <f t="array" aca="1" ref="D47" ca="1">_xlfn.XLOOKUP(Tableau1[[#This Row],[Bloc de critères]] &amp; Tableau1[[#This Row],[Rubrique]], INDIRECT($O$3&amp;"!A:A") &amp; INDIRECT($O$3&amp;"!B:B"), INDIRECT($O$3&amp;"!J:J"))</f>
        <v>Non appliqué</v>
      </c>
    </row>
    <row r="48" spans="1:4" x14ac:dyDescent="0.3">
      <c r="A48" s="115" t="s">
        <v>739</v>
      </c>
      <c r="B48" s="115" t="s">
        <v>682</v>
      </c>
      <c r="C48" s="117" cm="1">
        <f t="array" aca="1" ref="C48" ca="1">_xlfn.XLOOKUP(Tableau1[[#This Row],[Bloc de critères]] &amp; Tableau1[[#This Row],[Rubrique]], INDIRECT($O$3&amp;"!A:A") &amp; INDIRECT($O$3&amp;"!B:B"), INDIRECT($O$3&amp;"!F:F"))</f>
        <v>0</v>
      </c>
      <c r="D48" s="116" cm="1">
        <f t="array" aca="1" ref="D48" ca="1">_xlfn.XLOOKUP(Tableau1[[#This Row],[Bloc de critères]] &amp; Tableau1[[#This Row],[Rubrique]], INDIRECT($O$3&amp;"!A:A") &amp; INDIRECT($O$3&amp;"!B:B"), INDIRECT($O$3&amp;"!J:J"))</f>
        <v>0</v>
      </c>
    </row>
    <row r="49" spans="1:4" x14ac:dyDescent="0.3">
      <c r="A49" s="115" t="s">
        <v>739</v>
      </c>
      <c r="B49" s="115" t="s">
        <v>742</v>
      </c>
      <c r="C49" s="117" cm="1">
        <f t="array" aca="1" ref="C49" ca="1">_xlfn.XLOOKUP(Tableau1[[#This Row],[Bloc de critères]] &amp; Tableau1[[#This Row],[Rubrique]], INDIRECT($O$3&amp;"!A:A") &amp; INDIRECT($O$3&amp;"!B:B"), INDIRECT($O$3&amp;"!F:F"))</f>
        <v>0</v>
      </c>
      <c r="D49" s="116" cm="1">
        <f t="array" aca="1" ref="D49" ca="1">_xlfn.XLOOKUP(Tableau1[[#This Row],[Bloc de critères]] &amp; Tableau1[[#This Row],[Rubrique]], INDIRECT($O$3&amp;"!A:A") &amp; INDIRECT($O$3&amp;"!B:B"), INDIRECT($O$3&amp;"!J:J"))</f>
        <v>0</v>
      </c>
    </row>
    <row r="50" spans="1:4" ht="22.8" x14ac:dyDescent="0.3">
      <c r="A50" s="115" t="s">
        <v>739</v>
      </c>
      <c r="B50" s="115" t="s">
        <v>743</v>
      </c>
      <c r="C50" s="117" cm="1">
        <f t="array" aca="1" ref="C50" ca="1">_xlfn.XLOOKUP(Tableau1[[#This Row],[Bloc de critères]] &amp; Tableau1[[#This Row],[Rubrique]], INDIRECT($O$3&amp;"!A:A") &amp; INDIRECT($O$3&amp;"!B:B"), INDIRECT($O$3&amp;"!F:F"))</f>
        <v>0</v>
      </c>
      <c r="D50" s="116" cm="1">
        <f t="array" aca="1" ref="D50" ca="1">_xlfn.XLOOKUP(Tableau1[[#This Row],[Bloc de critères]] &amp; Tableau1[[#This Row],[Rubrique]], INDIRECT($O$3&amp;"!A:A") &amp; INDIRECT($O$3&amp;"!B:B"), INDIRECT($O$3&amp;"!J:J"))</f>
        <v>0</v>
      </c>
    </row>
    <row r="51" spans="1:4" x14ac:dyDescent="0.3">
      <c r="A51" s="115" t="s">
        <v>739</v>
      </c>
      <c r="B51" s="115" t="s">
        <v>746</v>
      </c>
      <c r="C51" s="117" cm="1">
        <f t="array" aca="1" ref="C51" ca="1">_xlfn.XLOOKUP(Tableau1[[#This Row],[Bloc de critères]] &amp; Tableau1[[#This Row],[Rubrique]], INDIRECT($O$3&amp;"!A:A") &amp; INDIRECT($O$3&amp;"!B:B"), INDIRECT($O$3&amp;"!F:F"))</f>
        <v>0</v>
      </c>
      <c r="D51" s="116" t="str" cm="1">
        <f t="array" aca="1" ref="D51" ca="1">_xlfn.XLOOKUP(Tableau1[[#This Row],[Bloc de critères]] &amp; Tableau1[[#This Row],[Rubrique]], INDIRECT($O$3&amp;"!A:A") &amp; INDIRECT($O$3&amp;"!B:B"), INDIRECT($O$3&amp;"!J:J"))</f>
        <v>Non appliqué</v>
      </c>
    </row>
    <row r="52" spans="1:4" x14ac:dyDescent="0.3">
      <c r="A52" s="115" t="s">
        <v>739</v>
      </c>
      <c r="B52" s="115" t="s">
        <v>747</v>
      </c>
      <c r="C52" s="117" cm="1">
        <f t="array" aca="1" ref="C52" ca="1">_xlfn.XLOOKUP(Tableau1[[#This Row],[Bloc de critères]] &amp; Tableau1[[#This Row],[Rubrique]], INDIRECT($O$3&amp;"!A:A") &amp; INDIRECT($O$3&amp;"!B:B"), INDIRECT($O$3&amp;"!F:F"))</f>
        <v>0</v>
      </c>
      <c r="D52" s="116" cm="1">
        <f t="array" aca="1" ref="D52" ca="1">_xlfn.XLOOKUP(Tableau1[[#This Row],[Bloc de critères]] &amp; Tableau1[[#This Row],[Rubrique]], INDIRECT($O$3&amp;"!A:A") &amp; INDIRECT($O$3&amp;"!B:B"), INDIRECT($O$3&amp;"!J:J"))</f>
        <v>0</v>
      </c>
    </row>
    <row r="53" spans="1:4" x14ac:dyDescent="0.3">
      <c r="A53" s="115" t="s">
        <v>739</v>
      </c>
      <c r="B53" s="115" t="s">
        <v>748</v>
      </c>
      <c r="C53" s="117" cm="1">
        <f t="array" aca="1" ref="C53" ca="1">_xlfn.XLOOKUP(Tableau1[[#This Row],[Bloc de critères]] &amp; Tableau1[[#This Row],[Rubrique]], INDIRECT($O$3&amp;"!A:A") &amp; INDIRECT($O$3&amp;"!B:B"), INDIRECT($O$3&amp;"!F:F"))</f>
        <v>0</v>
      </c>
      <c r="D53" s="116" cm="1">
        <f t="array" aca="1" ref="D53" ca="1">_xlfn.XLOOKUP(Tableau1[[#This Row],[Bloc de critères]] &amp; Tableau1[[#This Row],[Rubrique]], INDIRECT($O$3&amp;"!A:A") &amp; INDIRECT($O$3&amp;"!B:B"), INDIRECT($O$3&amp;"!J:J"))</f>
        <v>0</v>
      </c>
    </row>
    <row r="54" spans="1:4" x14ac:dyDescent="0.3">
      <c r="A54" s="115" t="s">
        <v>739</v>
      </c>
      <c r="B54" s="115" t="s">
        <v>751</v>
      </c>
      <c r="C54" s="117" cm="1">
        <f t="array" aca="1" ref="C54" ca="1">_xlfn.XLOOKUP(Tableau1[[#This Row],[Bloc de critères]] &amp; Tableau1[[#This Row],[Rubrique]], INDIRECT($O$3&amp;"!A:A") &amp; INDIRECT($O$3&amp;"!B:B"), INDIRECT($O$3&amp;"!F:F"))</f>
        <v>0</v>
      </c>
      <c r="D54" s="116" cm="1">
        <f t="array" aca="1" ref="D54" ca="1">_xlfn.XLOOKUP(Tableau1[[#This Row],[Bloc de critères]] &amp; Tableau1[[#This Row],[Rubrique]], INDIRECT($O$3&amp;"!A:A") &amp; INDIRECT($O$3&amp;"!B:B"), INDIRECT($O$3&amp;"!J:J"))</f>
        <v>0</v>
      </c>
    </row>
    <row r="55" spans="1:4" ht="22.8" x14ac:dyDescent="0.3">
      <c r="A55" s="115" t="s">
        <v>739</v>
      </c>
      <c r="B55" s="115" t="s">
        <v>752</v>
      </c>
      <c r="C55" s="117" t="str" cm="1">
        <f t="array" aca="1" ref="C55" ca="1">_xlfn.XLOOKUP(Tableau1[[#This Row],[Bloc de critères]] &amp; Tableau1[[#This Row],[Rubrique]], INDIRECT($O$3&amp;"!A:A") &amp; INDIRECT($O$3&amp;"!B:B"), INDIRECT($O$3&amp;"!F:F"))</f>
        <v>Non appliqué</v>
      </c>
      <c r="D55" s="116" t="str" cm="1">
        <f t="array" aca="1" ref="D55" ca="1">_xlfn.XLOOKUP(Tableau1[[#This Row],[Bloc de critères]] &amp; Tableau1[[#This Row],[Rubrique]], INDIRECT($O$3&amp;"!A:A") &amp; INDIRECT($O$3&amp;"!B:B"), INDIRECT($O$3&amp;"!J:J"))</f>
        <v>Non appliqué</v>
      </c>
    </row>
    <row r="56" spans="1:4" ht="34.200000000000003" x14ac:dyDescent="0.3">
      <c r="A56" s="115" t="s">
        <v>739</v>
      </c>
      <c r="B56" s="115" t="s">
        <v>753</v>
      </c>
      <c r="C56" s="117" cm="1">
        <f t="array" aca="1" ref="C56" ca="1">_xlfn.XLOOKUP(Tableau1[[#This Row],[Bloc de critères]] &amp; Tableau1[[#This Row],[Rubrique]], INDIRECT($O$3&amp;"!A:A") &amp; INDIRECT($O$3&amp;"!B:B"), INDIRECT($O$3&amp;"!F:F"))</f>
        <v>0</v>
      </c>
      <c r="D56" s="116" t="str" cm="1">
        <f t="array" aca="1" ref="D56" ca="1">_xlfn.XLOOKUP(Tableau1[[#This Row],[Bloc de critères]] &amp; Tableau1[[#This Row],[Rubrique]], INDIRECT($O$3&amp;"!A:A") &amp; INDIRECT($O$3&amp;"!B:B"), INDIRECT($O$3&amp;"!J:J"))</f>
        <v>Non appliqué</v>
      </c>
    </row>
    <row r="57" spans="1:4" ht="22.8" x14ac:dyDescent="0.3">
      <c r="A57" s="115" t="s">
        <v>739</v>
      </c>
      <c r="B57" s="115" t="s">
        <v>755</v>
      </c>
      <c r="C57" s="117" t="str" cm="1">
        <f t="array" aca="1" ref="C57" ca="1">_xlfn.XLOOKUP(Tableau1[[#This Row],[Bloc de critères]] &amp; Tableau1[[#This Row],[Rubrique]], INDIRECT($O$3&amp;"!A:A") &amp; INDIRECT($O$3&amp;"!B:B"), INDIRECT($O$3&amp;"!F:F"))</f>
        <v>Non appliqué</v>
      </c>
      <c r="D57" s="116" t="str" cm="1">
        <f t="array" aca="1" ref="D57" ca="1">_xlfn.XLOOKUP(Tableau1[[#This Row],[Bloc de critères]] &amp; Tableau1[[#This Row],[Rubrique]], INDIRECT($O$3&amp;"!A:A") &amp; INDIRECT($O$3&amp;"!B:B"), INDIRECT($O$3&amp;"!J:J"))</f>
        <v>Non appliqué</v>
      </c>
    </row>
    <row r="58" spans="1:4" x14ac:dyDescent="0.3">
      <c r="A58" s="115" t="s">
        <v>739</v>
      </c>
      <c r="B58" s="115" t="s">
        <v>756</v>
      </c>
      <c r="C58" s="117" cm="1">
        <f t="array" aca="1" ref="C58" ca="1">_xlfn.XLOOKUP(Tableau1[[#This Row],[Bloc de critères]] &amp; Tableau1[[#This Row],[Rubrique]], INDIRECT($O$3&amp;"!A:A") &amp; INDIRECT($O$3&amp;"!B:B"), INDIRECT($O$3&amp;"!F:F"))</f>
        <v>0</v>
      </c>
      <c r="D58" s="116" cm="1">
        <f t="array" aca="1" ref="D58" ca="1">_xlfn.XLOOKUP(Tableau1[[#This Row],[Bloc de critères]] &amp; Tableau1[[#This Row],[Rubrique]], INDIRECT($O$3&amp;"!A:A") &amp; INDIRECT($O$3&amp;"!B:B"), INDIRECT($O$3&amp;"!J:J"))</f>
        <v>0</v>
      </c>
    </row>
    <row r="59" spans="1:4" ht="22.8" x14ac:dyDescent="0.3">
      <c r="A59" s="115" t="s">
        <v>757</v>
      </c>
      <c r="B59" s="115" t="s">
        <v>682</v>
      </c>
      <c r="C59" s="117" cm="1">
        <f t="array" aca="1" ref="C59" ca="1">_xlfn.XLOOKUP(Tableau1[[#This Row],[Bloc de critères]] &amp; Tableau1[[#This Row],[Rubrique]], INDIRECT($O$3&amp;"!A:A") &amp; INDIRECT($O$3&amp;"!B:B"), INDIRECT($O$3&amp;"!F:F"))</f>
        <v>0</v>
      </c>
      <c r="D59" s="116" cm="1">
        <f t="array" aca="1" ref="D59" ca="1">_xlfn.XLOOKUP(Tableau1[[#This Row],[Bloc de critères]] &amp; Tableau1[[#This Row],[Rubrique]], INDIRECT($O$3&amp;"!A:A") &amp; INDIRECT($O$3&amp;"!B:B"), INDIRECT($O$3&amp;"!J:J"))</f>
        <v>0</v>
      </c>
    </row>
    <row r="60" spans="1:4" ht="22.8" x14ac:dyDescent="0.3">
      <c r="A60" s="115" t="s">
        <v>757</v>
      </c>
      <c r="B60" s="115" t="s">
        <v>675</v>
      </c>
      <c r="C60" s="117" cm="1">
        <f t="array" aca="1" ref="C60" ca="1">_xlfn.XLOOKUP(Tableau1[[#This Row],[Bloc de critères]] &amp; Tableau1[[#This Row],[Rubrique]], INDIRECT($O$3&amp;"!A:A") &amp; INDIRECT($O$3&amp;"!B:B"), INDIRECT($O$3&amp;"!F:F"))</f>
        <v>0</v>
      </c>
      <c r="D60" s="116" cm="1">
        <f t="array" aca="1" ref="D60" ca="1">_xlfn.XLOOKUP(Tableau1[[#This Row],[Bloc de critères]] &amp; Tableau1[[#This Row],[Rubrique]], INDIRECT($O$3&amp;"!A:A") &amp; INDIRECT($O$3&amp;"!B:B"), INDIRECT($O$3&amp;"!J:J"))</f>
        <v>0</v>
      </c>
    </row>
    <row r="61" spans="1:4" ht="22.8" x14ac:dyDescent="0.3">
      <c r="A61" s="115" t="s">
        <v>757</v>
      </c>
      <c r="B61" s="115" t="s">
        <v>759</v>
      </c>
      <c r="C61" s="117" cm="1">
        <f t="array" aca="1" ref="C61" ca="1">_xlfn.XLOOKUP(Tableau1[[#This Row],[Bloc de critères]] &amp; Tableau1[[#This Row],[Rubrique]], INDIRECT($O$3&amp;"!A:A") &amp; INDIRECT($O$3&amp;"!B:B"), INDIRECT($O$3&amp;"!F:F"))</f>
        <v>0</v>
      </c>
      <c r="D61" s="116" cm="1">
        <f t="array" aca="1" ref="D61" ca="1">_xlfn.XLOOKUP(Tableau1[[#This Row],[Bloc de critères]] &amp; Tableau1[[#This Row],[Rubrique]], INDIRECT($O$3&amp;"!A:A") &amp; INDIRECT($O$3&amp;"!B:B"), INDIRECT($O$3&amp;"!J:J"))</f>
        <v>0</v>
      </c>
    </row>
    <row r="62" spans="1:4" ht="22.8" x14ac:dyDescent="0.3">
      <c r="A62" s="115" t="s">
        <v>757</v>
      </c>
      <c r="B62" s="115" t="s">
        <v>761</v>
      </c>
      <c r="C62" s="117" t="str" cm="1">
        <f t="array" aca="1" ref="C62" ca="1">_xlfn.XLOOKUP(Tableau1[[#This Row],[Bloc de critères]] &amp; Tableau1[[#This Row],[Rubrique]], INDIRECT($O$3&amp;"!A:A") &amp; INDIRECT($O$3&amp;"!B:B"), INDIRECT($O$3&amp;"!F:F"))</f>
        <v>Non appliqué</v>
      </c>
      <c r="D62" s="116" t="str" cm="1">
        <f t="array" aca="1" ref="D62" ca="1">_xlfn.XLOOKUP(Tableau1[[#This Row],[Bloc de critères]] &amp; Tableau1[[#This Row],[Rubrique]], INDIRECT($O$3&amp;"!A:A") &amp; INDIRECT($O$3&amp;"!B:B"), INDIRECT($O$3&amp;"!J:J"))</f>
        <v>Non appliqué</v>
      </c>
    </row>
    <row r="63" spans="1:4" ht="22.8" x14ac:dyDescent="0.3">
      <c r="A63" s="115" t="s">
        <v>757</v>
      </c>
      <c r="B63" s="115" t="s">
        <v>762</v>
      </c>
      <c r="C63" s="117" cm="1">
        <f t="array" aca="1" ref="C63" ca="1">_xlfn.XLOOKUP(Tableau1[[#This Row],[Bloc de critères]] &amp; Tableau1[[#This Row],[Rubrique]], INDIRECT($O$3&amp;"!A:A") &amp; INDIRECT($O$3&amp;"!B:B"), INDIRECT($O$3&amp;"!F:F"))</f>
        <v>0</v>
      </c>
      <c r="D63" s="116" t="str" cm="1">
        <f t="array" aca="1" ref="D63" ca="1">_xlfn.XLOOKUP(Tableau1[[#This Row],[Bloc de critères]] &amp; Tableau1[[#This Row],[Rubrique]], INDIRECT($O$3&amp;"!A:A") &amp; INDIRECT($O$3&amp;"!B:B"), INDIRECT($O$3&amp;"!J:J"))</f>
        <v>Non appliqué</v>
      </c>
    </row>
    <row r="64" spans="1:4" ht="22.8" x14ac:dyDescent="0.3">
      <c r="A64" s="115" t="s">
        <v>757</v>
      </c>
      <c r="B64" s="115" t="s">
        <v>763</v>
      </c>
      <c r="C64" s="117" cm="1">
        <f t="array" aca="1" ref="C64" ca="1">_xlfn.XLOOKUP(Tableau1[[#This Row],[Bloc de critères]] &amp; Tableau1[[#This Row],[Rubrique]], INDIRECT($O$3&amp;"!A:A") &amp; INDIRECT($O$3&amp;"!B:B"), INDIRECT($O$3&amp;"!F:F"))</f>
        <v>0</v>
      </c>
      <c r="D64" s="116" t="str" cm="1">
        <f t="array" aca="1" ref="D64" ca="1">_xlfn.XLOOKUP(Tableau1[[#This Row],[Bloc de critères]] &amp; Tableau1[[#This Row],[Rubrique]], INDIRECT($O$3&amp;"!A:A") &amp; INDIRECT($O$3&amp;"!B:B"), INDIRECT($O$3&amp;"!J:J"))</f>
        <v>Non appliqué</v>
      </c>
    </row>
    <row r="65" spans="1:4" ht="22.8" x14ac:dyDescent="0.3">
      <c r="A65" s="115" t="s">
        <v>757</v>
      </c>
      <c r="B65" s="115" t="s">
        <v>765</v>
      </c>
      <c r="C65" s="117" cm="1">
        <f t="array" aca="1" ref="C65" ca="1">_xlfn.XLOOKUP(Tableau1[[#This Row],[Bloc de critères]] &amp; Tableau1[[#This Row],[Rubrique]], INDIRECT($O$3&amp;"!A:A") &amp; INDIRECT($O$3&amp;"!B:B"), INDIRECT($O$3&amp;"!F:F"))</f>
        <v>0</v>
      </c>
      <c r="D65" s="116" cm="1">
        <f t="array" aca="1" ref="D65" ca="1">_xlfn.XLOOKUP(Tableau1[[#This Row],[Bloc de critères]] &amp; Tableau1[[#This Row],[Rubrique]], INDIRECT($O$3&amp;"!A:A") &amp; INDIRECT($O$3&amp;"!B:B"), INDIRECT($O$3&amp;"!J:J"))</f>
        <v>0</v>
      </c>
    </row>
    <row r="66" spans="1:4" ht="22.8" x14ac:dyDescent="0.3">
      <c r="A66" s="115" t="s">
        <v>757</v>
      </c>
      <c r="B66" s="115" t="s">
        <v>766</v>
      </c>
      <c r="C66" s="117" cm="1">
        <f t="array" aca="1" ref="C66" ca="1">_xlfn.XLOOKUP(Tableau1[[#This Row],[Bloc de critères]] &amp; Tableau1[[#This Row],[Rubrique]], INDIRECT($O$3&amp;"!A:A") &amp; INDIRECT($O$3&amp;"!B:B"), INDIRECT($O$3&amp;"!F:F"))</f>
        <v>0</v>
      </c>
      <c r="D66" s="116" cm="1">
        <f t="array" aca="1" ref="D66" ca="1">_xlfn.XLOOKUP(Tableau1[[#This Row],[Bloc de critères]] &amp; Tableau1[[#This Row],[Rubrique]], INDIRECT($O$3&amp;"!A:A") &amp; INDIRECT($O$3&amp;"!B:B"), INDIRECT($O$3&amp;"!J:J"))</f>
        <v>0</v>
      </c>
    </row>
    <row r="67" spans="1:4" ht="22.8" x14ac:dyDescent="0.3">
      <c r="A67" s="115" t="s">
        <v>767</v>
      </c>
      <c r="B67" s="115" t="s">
        <v>768</v>
      </c>
      <c r="C67" s="117" cm="1">
        <f t="array" aca="1" ref="C67" ca="1">_xlfn.XLOOKUP(Tableau1[[#This Row],[Bloc de critères]] &amp; Tableau1[[#This Row],[Rubrique]], INDIRECT($O$3&amp;"!A:A") &amp; INDIRECT($O$3&amp;"!B:B"), INDIRECT($O$3&amp;"!F:F"))</f>
        <v>0</v>
      </c>
      <c r="D67" s="116" cm="1">
        <f t="array" aca="1" ref="D67" ca="1">_xlfn.XLOOKUP(Tableau1[[#This Row],[Bloc de critères]] &amp; Tableau1[[#This Row],[Rubrique]], INDIRECT($O$3&amp;"!A:A") &amp; INDIRECT($O$3&amp;"!B:B"), INDIRECT($O$3&amp;"!J:J"))</f>
        <v>0</v>
      </c>
    </row>
    <row r="68" spans="1:4" ht="22.8" x14ac:dyDescent="0.3">
      <c r="A68" s="115" t="s">
        <v>767</v>
      </c>
      <c r="B68" s="115" t="s">
        <v>770</v>
      </c>
      <c r="C68" s="117" cm="1">
        <f t="array" aca="1" ref="C68" ca="1">_xlfn.XLOOKUP(Tableau1[[#This Row],[Bloc de critères]] &amp; Tableau1[[#This Row],[Rubrique]], INDIRECT($O$3&amp;"!A:A") &amp; INDIRECT($O$3&amp;"!B:B"), INDIRECT($O$3&amp;"!F:F"))</f>
        <v>0</v>
      </c>
      <c r="D68" s="116" t="str" cm="1">
        <f t="array" aca="1" ref="D68" ca="1">_xlfn.XLOOKUP(Tableau1[[#This Row],[Bloc de critères]] &amp; Tableau1[[#This Row],[Rubrique]], INDIRECT($O$3&amp;"!A:A") &amp; INDIRECT($O$3&amp;"!B:B"), INDIRECT($O$3&amp;"!J:J"))</f>
        <v>Non appliqué</v>
      </c>
    </row>
    <row r="69" spans="1:4" ht="22.8" x14ac:dyDescent="0.3">
      <c r="A69" s="115" t="s">
        <v>767</v>
      </c>
      <c r="B69" s="115" t="s">
        <v>772</v>
      </c>
      <c r="C69" s="117" t="str" cm="1">
        <f t="array" aca="1" ref="C69" ca="1">_xlfn.XLOOKUP(Tableau1[[#This Row],[Bloc de critères]] &amp; Tableau1[[#This Row],[Rubrique]], INDIRECT($O$3&amp;"!A:A") &amp; INDIRECT($O$3&amp;"!B:B"), INDIRECT($O$3&amp;"!F:F"))</f>
        <v>Non appliqué</v>
      </c>
      <c r="D69" s="116" cm="1">
        <f t="array" aca="1" ref="D69" ca="1">_xlfn.XLOOKUP(Tableau1[[#This Row],[Bloc de critères]] &amp; Tableau1[[#This Row],[Rubrique]], INDIRECT($O$3&amp;"!A:A") &amp; INDIRECT($O$3&amp;"!B:B"), INDIRECT($O$3&amp;"!J:J"))</f>
        <v>0</v>
      </c>
    </row>
    <row r="70" spans="1:4" ht="22.8" x14ac:dyDescent="0.3">
      <c r="A70" s="115" t="s">
        <v>773</v>
      </c>
      <c r="B70" s="115" t="s">
        <v>775</v>
      </c>
      <c r="C70" s="117" cm="1">
        <f t="array" aca="1" ref="C70" ca="1">_xlfn.XLOOKUP(Tableau1[[#This Row],[Bloc de critères]] &amp; Tableau1[[#This Row],[Rubrique]], INDIRECT($O$3&amp;"!A:A") &amp; INDIRECT($O$3&amp;"!B:B"), INDIRECT($O$3&amp;"!F:F"))</f>
        <v>0</v>
      </c>
      <c r="D70" s="116" cm="1">
        <f t="array" aca="1" ref="D70" ca="1">_xlfn.XLOOKUP(Tableau1[[#This Row],[Bloc de critères]] &amp; Tableau1[[#This Row],[Rubrique]], INDIRECT($O$3&amp;"!A:A") &amp; INDIRECT($O$3&amp;"!B:B"), INDIRECT($O$3&amp;"!J:J"))</f>
        <v>0</v>
      </c>
    </row>
    <row r="71" spans="1:4" ht="22.8" x14ac:dyDescent="0.3">
      <c r="A71" s="115" t="s">
        <v>773</v>
      </c>
      <c r="B71" s="115" t="s">
        <v>776</v>
      </c>
      <c r="C71" s="117" cm="1">
        <f t="array" aca="1" ref="C71" ca="1">_xlfn.XLOOKUP(Tableau1[[#This Row],[Bloc de critères]] &amp; Tableau1[[#This Row],[Rubrique]], INDIRECT($O$3&amp;"!A:A") &amp; INDIRECT($O$3&amp;"!B:B"), INDIRECT($O$3&amp;"!F:F"))</f>
        <v>0</v>
      </c>
      <c r="D71" s="116" cm="1">
        <f t="array" aca="1" ref="D71" ca="1">_xlfn.XLOOKUP(Tableau1[[#This Row],[Bloc de critères]] &amp; Tableau1[[#This Row],[Rubrique]], INDIRECT($O$3&amp;"!A:A") &amp; INDIRECT($O$3&amp;"!B:B"), INDIRECT($O$3&amp;"!J:J"))</f>
        <v>0</v>
      </c>
    </row>
    <row r="72" spans="1:4" ht="22.8" x14ac:dyDescent="0.3">
      <c r="A72" s="115" t="s">
        <v>773</v>
      </c>
      <c r="B72" s="115" t="s">
        <v>777</v>
      </c>
      <c r="C72" s="117" cm="1">
        <f t="array" aca="1" ref="C72" ca="1">_xlfn.XLOOKUP(Tableau1[[#This Row],[Bloc de critères]] &amp; Tableau1[[#This Row],[Rubrique]], INDIRECT($O$3&amp;"!A:A") &amp; INDIRECT($O$3&amp;"!B:B"), INDIRECT($O$3&amp;"!F:F"))</f>
        <v>0</v>
      </c>
      <c r="D72" s="116" cm="1">
        <f t="array" aca="1" ref="D72" ca="1">_xlfn.XLOOKUP(Tableau1[[#This Row],[Bloc de critères]] &amp; Tableau1[[#This Row],[Rubrique]], INDIRECT($O$3&amp;"!A:A") &amp; INDIRECT($O$3&amp;"!B:B"), INDIRECT($O$3&amp;"!J:J"))</f>
        <v>0</v>
      </c>
    </row>
    <row r="73" spans="1:4" x14ac:dyDescent="0.3">
      <c r="A73" s="111"/>
      <c r="B73" s="111"/>
      <c r="C73" s="110"/>
      <c r="D73" s="109"/>
    </row>
    <row r="74" spans="1:4" x14ac:dyDescent="0.3">
      <c r="A74" s="112"/>
      <c r="B74" s="112"/>
      <c r="C74" s="110"/>
      <c r="D74" s="109"/>
    </row>
    <row r="75" spans="1:4" x14ac:dyDescent="0.3">
      <c r="A75" s="112"/>
      <c r="B75" s="112"/>
      <c r="C75" s="110"/>
      <c r="D75" s="109"/>
    </row>
    <row r="76" spans="1:4" x14ac:dyDescent="0.3">
      <c r="A76" s="112"/>
      <c r="B76" s="112"/>
      <c r="C76" s="110"/>
      <c r="D76" s="109"/>
    </row>
    <row r="77" spans="1:4" x14ac:dyDescent="0.3">
      <c r="A77" s="112"/>
      <c r="B77" s="112"/>
      <c r="C77" s="110"/>
      <c r="D77" s="109"/>
    </row>
    <row r="78" spans="1:4" x14ac:dyDescent="0.3">
      <c r="A78" s="112"/>
      <c r="B78" s="112"/>
      <c r="C78" s="110"/>
      <c r="D78" s="109"/>
    </row>
    <row r="79" spans="1:4" x14ac:dyDescent="0.3">
      <c r="A79" s="112"/>
      <c r="B79" s="112"/>
      <c r="C79" s="110"/>
      <c r="D79" s="109"/>
    </row>
    <row r="80" spans="1:4" x14ac:dyDescent="0.3">
      <c r="A80" s="112"/>
      <c r="B80" s="112"/>
      <c r="C80" s="110"/>
      <c r="D80" s="109"/>
    </row>
    <row r="81" spans="1:4" x14ac:dyDescent="0.3">
      <c r="A81" s="112"/>
      <c r="B81" s="112"/>
      <c r="C81" s="110"/>
      <c r="D81" s="109"/>
    </row>
    <row r="82" spans="1:4" x14ac:dyDescent="0.3">
      <c r="A82" s="112"/>
      <c r="B82" s="112"/>
      <c r="C82" s="110"/>
      <c r="D82" s="109"/>
    </row>
    <row r="83" spans="1:4" x14ac:dyDescent="0.3">
      <c r="A83" s="112"/>
      <c r="B83" s="112"/>
      <c r="C83" s="110"/>
      <c r="D83" s="109"/>
    </row>
    <row r="84" spans="1:4" x14ac:dyDescent="0.3">
      <c r="A84" s="112"/>
      <c r="B84" s="112"/>
      <c r="C84" s="110"/>
      <c r="D84" s="109"/>
    </row>
    <row r="85" spans="1:4" x14ac:dyDescent="0.3">
      <c r="A85" s="112"/>
      <c r="B85" s="112"/>
      <c r="C85" s="110"/>
      <c r="D85" s="109"/>
    </row>
    <row r="86" spans="1:4" x14ac:dyDescent="0.3">
      <c r="A86" s="112"/>
      <c r="B86" s="112"/>
      <c r="C86" s="110"/>
      <c r="D86" s="109"/>
    </row>
    <row r="87" spans="1:4" x14ac:dyDescent="0.3">
      <c r="A87" s="112"/>
      <c r="B87" s="112"/>
      <c r="C87" s="110"/>
      <c r="D87" s="109"/>
    </row>
    <row r="88" spans="1:4" x14ac:dyDescent="0.3">
      <c r="A88" s="112"/>
      <c r="B88" s="112"/>
      <c r="C88" s="110"/>
      <c r="D88" s="109"/>
    </row>
    <row r="89" spans="1:4" x14ac:dyDescent="0.3">
      <c r="A89" s="112"/>
      <c r="B89" s="112"/>
      <c r="C89" s="110"/>
      <c r="D89" s="109"/>
    </row>
    <row r="90" spans="1:4" x14ac:dyDescent="0.3">
      <c r="A90" s="112"/>
      <c r="B90" s="112"/>
      <c r="C90" s="110"/>
      <c r="D90" s="109"/>
    </row>
    <row r="91" spans="1:4" x14ac:dyDescent="0.3">
      <c r="A91"/>
      <c r="B91"/>
      <c r="C91"/>
    </row>
    <row r="92" spans="1:4" x14ac:dyDescent="0.3">
      <c r="A92"/>
      <c r="B92"/>
      <c r="C92"/>
    </row>
    <row r="93" spans="1:4" x14ac:dyDescent="0.3">
      <c r="A93"/>
      <c r="B93"/>
      <c r="C93"/>
    </row>
    <row r="94" spans="1:4" x14ac:dyDescent="0.3">
      <c r="A94"/>
      <c r="B94"/>
      <c r="C94"/>
    </row>
    <row r="95" spans="1:4" x14ac:dyDescent="0.3">
      <c r="A95"/>
      <c r="B95"/>
      <c r="C95"/>
    </row>
    <row r="96" spans="1:4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E5B9-4685-476E-A911-69E06971821C}">
  <sheetPr codeName="Feuil11"/>
  <dimension ref="B2:M26"/>
  <sheetViews>
    <sheetView showGridLines="0" tabSelected="1" view="pageLayout" zoomScale="95" zoomScaleNormal="84" zoomScaleSheetLayoutView="114" zoomScalePageLayoutView="9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customHeight="1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1" t="s">
        <v>62</v>
      </c>
      <c r="D8" s="21"/>
      <c r="E8" s="21"/>
      <c r="F8" s="28"/>
      <c r="G8" s="28"/>
      <c r="H8" s="20"/>
      <c r="I8" s="20"/>
      <c r="J8" s="20"/>
      <c r="K8" s="20"/>
      <c r="L8" s="20"/>
    </row>
    <row r="9" spans="2:13" ht="18" x14ac:dyDescent="0.4">
      <c r="B9" s="20"/>
      <c r="C9" s="22" t="s">
        <v>63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197" t="s">
        <v>64</v>
      </c>
      <c r="D10" s="197"/>
      <c r="E10" s="197"/>
      <c r="F10" s="197"/>
      <c r="G10" s="87" t="s">
        <v>58</v>
      </c>
      <c r="H10" s="140" t="s">
        <v>59</v>
      </c>
      <c r="I10" s="140" t="s">
        <v>60</v>
      </c>
      <c r="J10" s="83"/>
      <c r="K10" s="90"/>
      <c r="L10" s="20"/>
    </row>
    <row r="11" spans="2:13" ht="14.7" customHeight="1" x14ac:dyDescent="0.3">
      <c r="B11" s="20"/>
      <c r="C11" s="197"/>
      <c r="D11" s="197"/>
      <c r="E11" s="197"/>
      <c r="F11" s="197"/>
      <c r="G11" s="93" t="b">
        <v>0</v>
      </c>
      <c r="H11" s="100" t="b">
        <v>0</v>
      </c>
      <c r="I11" s="100" t="b">
        <v>0</v>
      </c>
      <c r="J11" s="83"/>
      <c r="K11" s="90"/>
      <c r="L11" s="20"/>
    </row>
    <row r="12" spans="2:13" ht="16.2" x14ac:dyDescent="0.3">
      <c r="B12" s="20"/>
      <c r="C12" s="197" t="s">
        <v>65</v>
      </c>
      <c r="D12" s="197"/>
      <c r="E12" s="197"/>
      <c r="F12" s="197"/>
      <c r="G12" s="87" t="s">
        <v>58</v>
      </c>
      <c r="H12" s="140" t="s">
        <v>59</v>
      </c>
      <c r="I12" s="140" t="s">
        <v>60</v>
      </c>
      <c r="J12" s="83"/>
      <c r="K12" s="90"/>
      <c r="L12" s="20"/>
    </row>
    <row r="13" spans="2:13" ht="14.7" customHeight="1" x14ac:dyDescent="0.3">
      <c r="B13" s="20"/>
      <c r="C13" s="197"/>
      <c r="D13" s="197"/>
      <c r="E13" s="197"/>
      <c r="F13" s="197"/>
      <c r="G13" s="93" t="b">
        <v>0</v>
      </c>
      <c r="H13" s="100" t="b">
        <v>0</v>
      </c>
      <c r="I13" s="100" t="b">
        <v>0</v>
      </c>
      <c r="J13" s="83"/>
      <c r="K13" s="90"/>
      <c r="L13" s="20"/>
    </row>
    <row r="14" spans="2:13" ht="16.2" x14ac:dyDescent="0.3">
      <c r="B14" s="20"/>
      <c r="C14" s="198" t="s">
        <v>66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83"/>
      <c r="K14" s="90"/>
      <c r="L14" s="20"/>
    </row>
    <row r="15" spans="2:13" ht="14.7" customHeight="1" x14ac:dyDescent="0.3">
      <c r="B15" s="20"/>
      <c r="C15" s="198"/>
      <c r="D15" s="198"/>
      <c r="E15" s="198"/>
      <c r="F15" s="198"/>
      <c r="G15" s="93" t="b">
        <v>0</v>
      </c>
      <c r="H15" s="100" t="b">
        <v>0</v>
      </c>
      <c r="I15" s="100" t="b">
        <v>0</v>
      </c>
      <c r="J15" s="83"/>
      <c r="K15" s="90"/>
      <c r="L15" s="20"/>
    </row>
    <row r="16" spans="2:13" ht="24" customHeight="1" x14ac:dyDescent="0.3">
      <c r="B16" s="20"/>
      <c r="C16" s="199" t="s">
        <v>63</v>
      </c>
      <c r="D16" s="199"/>
      <c r="E16" s="199"/>
      <c r="F16" s="199"/>
      <c r="G16" s="20"/>
      <c r="H16" s="20"/>
      <c r="I16" s="20"/>
      <c r="J16" s="20"/>
      <c r="K16" s="20"/>
      <c r="L16" s="20"/>
    </row>
    <row r="17" spans="2:12" ht="16.2" x14ac:dyDescent="0.3">
      <c r="B17" s="20"/>
      <c r="C17" s="195" t="s">
        <v>67</v>
      </c>
      <c r="D17" s="196"/>
      <c r="E17" s="196"/>
      <c r="F17" s="196"/>
      <c r="G17" s="101" t="s">
        <v>58</v>
      </c>
      <c r="H17" s="102" t="s">
        <v>59</v>
      </c>
      <c r="I17" s="102" t="s">
        <v>60</v>
      </c>
      <c r="J17" s="103"/>
      <c r="K17" s="104"/>
      <c r="L17" s="20"/>
    </row>
    <row r="18" spans="2:12" ht="14.7" customHeight="1" x14ac:dyDescent="0.3">
      <c r="B18" s="20"/>
      <c r="C18" s="195"/>
      <c r="D18" s="196"/>
      <c r="E18" s="196"/>
      <c r="F18" s="196"/>
      <c r="G18" s="105" t="b">
        <v>0</v>
      </c>
      <c r="H18" s="106" t="b">
        <v>0</v>
      </c>
      <c r="I18" s="106" t="b">
        <v>0</v>
      </c>
      <c r="J18" s="103"/>
      <c r="K18" s="104"/>
      <c r="L18" s="20"/>
    </row>
    <row r="19" spans="2:12" ht="14.7" customHeight="1" x14ac:dyDescent="0.3">
      <c r="B19" s="20"/>
      <c r="C19" s="195" t="s">
        <v>68</v>
      </c>
      <c r="D19" s="196"/>
      <c r="E19" s="196"/>
      <c r="F19" s="196"/>
      <c r="G19" s="101" t="s">
        <v>58</v>
      </c>
      <c r="H19" s="102" t="s">
        <v>59</v>
      </c>
      <c r="I19" s="102" t="s">
        <v>60</v>
      </c>
      <c r="J19" s="103"/>
      <c r="K19" s="104"/>
      <c r="L19" s="20"/>
    </row>
    <row r="20" spans="2:12" ht="14.7" customHeight="1" x14ac:dyDescent="0.3">
      <c r="B20" s="20"/>
      <c r="C20" s="195"/>
      <c r="D20" s="196"/>
      <c r="E20" s="196"/>
      <c r="F20" s="196"/>
      <c r="G20" s="105" t="b">
        <v>0</v>
      </c>
      <c r="H20" s="106" t="b">
        <v>0</v>
      </c>
      <c r="I20" s="106" t="b">
        <v>0</v>
      </c>
      <c r="J20" s="103"/>
      <c r="K20" s="104"/>
      <c r="L20" s="20"/>
    </row>
    <row r="21" spans="2:12" x14ac:dyDescent="0.3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x14ac:dyDescent="0.3">
      <c r="B22" s="29"/>
      <c r="C22" s="29"/>
      <c r="D22" s="29"/>
      <c r="E22" s="29"/>
      <c r="F22" s="31"/>
      <c r="G22" s="31"/>
      <c r="H22" s="31"/>
      <c r="I22" s="30"/>
      <c r="J22" s="30"/>
      <c r="K22" s="30"/>
      <c r="L22" s="30"/>
    </row>
    <row r="23" spans="2:12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2:12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2" x14ac:dyDescent="0.3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2:12" x14ac:dyDescent="0.3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sheetProtection sheet="1" objects="1" scenarios="1"/>
  <mergeCells count="7">
    <mergeCell ref="C19:F20"/>
    <mergeCell ref="C17:F18"/>
    <mergeCell ref="F3:K5"/>
    <mergeCell ref="C10:F11"/>
    <mergeCell ref="C12:F13"/>
    <mergeCell ref="C14:F15"/>
    <mergeCell ref="C16:F16"/>
  </mergeCells>
  <conditionalFormatting sqref="C10">
    <cfRule type="expression" dxfId="487" priority="7">
      <formula>AND($G$11:$K$11=FALSE)</formula>
    </cfRule>
  </conditionalFormatting>
  <conditionalFormatting sqref="C12">
    <cfRule type="expression" dxfId="486" priority="6">
      <formula>AND($G$13:$I$13=FALSE)</formula>
    </cfRule>
  </conditionalFormatting>
  <conditionalFormatting sqref="C14:F15">
    <cfRule type="expression" dxfId="485" priority="3">
      <formula>AND($G$15:$I$15=FALSE)</formula>
    </cfRule>
    <cfRule type="expression" priority="5">
      <formula>AND($G$15:$I$15=FALSE)</formula>
    </cfRule>
  </conditionalFormatting>
  <conditionalFormatting sqref="C17:F18">
    <cfRule type="expression" dxfId="484" priority="2">
      <formula>AND($G$18:$I$18=FALSE)</formula>
    </cfRule>
  </conditionalFormatting>
  <conditionalFormatting sqref="C19:F20">
    <cfRule type="expression" dxfId="483" priority="1">
      <formula>AND($G$20:$I$20=FALSE)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9EFD-186D-4715-B14C-956C8E4E847C}">
  <sheetPr codeName="Feuil12"/>
  <dimension ref="B2:M63"/>
  <sheetViews>
    <sheetView showGridLines="0" tabSelected="1" view="pageBreakPreview" zoomScaleNormal="95" zoomScaleSheetLayoutView="10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11" width="11.6640625" style="19"/>
    <col min="12" max="12" width="3.77734375" style="19" customWidth="1"/>
    <col min="13" max="13" width="4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69</v>
      </c>
      <c r="D8" s="203"/>
      <c r="E8" s="203"/>
      <c r="F8" s="28"/>
      <c r="G8" s="28"/>
      <c r="H8" s="20"/>
      <c r="I8" s="20"/>
      <c r="J8" s="20"/>
      <c r="K8" s="20"/>
      <c r="L8" s="20"/>
    </row>
    <row r="9" spans="2:13" ht="18" x14ac:dyDescent="0.4">
      <c r="B9" s="20"/>
      <c r="C9" s="22" t="s">
        <v>70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2" x14ac:dyDescent="0.3">
      <c r="B10" s="20"/>
      <c r="C10" s="200" t="s">
        <v>71</v>
      </c>
      <c r="D10" s="201"/>
      <c r="E10" s="201"/>
      <c r="F10" s="202"/>
      <c r="G10" s="87" t="s">
        <v>58</v>
      </c>
      <c r="H10" s="140" t="s">
        <v>59</v>
      </c>
      <c r="I10" s="140" t="s">
        <v>60</v>
      </c>
      <c r="J10" s="83"/>
      <c r="K10" s="90"/>
      <c r="L10" s="20"/>
    </row>
    <row r="11" spans="2:13" ht="14.7" customHeight="1" x14ac:dyDescent="0.3">
      <c r="B11" s="20"/>
      <c r="C11" s="200"/>
      <c r="D11" s="201"/>
      <c r="E11" s="201"/>
      <c r="F11" s="202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32.4" x14ac:dyDescent="0.3">
      <c r="B12" s="20"/>
      <c r="C12" s="200" t="s">
        <v>72</v>
      </c>
      <c r="D12" s="201"/>
      <c r="E12" s="201"/>
      <c r="F12" s="202"/>
      <c r="G12" s="87" t="s">
        <v>73</v>
      </c>
      <c r="H12" s="140" t="s">
        <v>74</v>
      </c>
      <c r="I12" s="140" t="s">
        <v>75</v>
      </c>
      <c r="J12" s="140" t="s">
        <v>76</v>
      </c>
      <c r="K12" s="88"/>
      <c r="L12" s="20"/>
    </row>
    <row r="13" spans="2:13" ht="14.7" customHeight="1" x14ac:dyDescent="0.3">
      <c r="B13" s="20"/>
      <c r="C13" s="200"/>
      <c r="D13" s="201"/>
      <c r="E13" s="201"/>
      <c r="F13" s="202"/>
      <c r="G13" s="89" t="b">
        <v>0</v>
      </c>
      <c r="H13" s="82" t="b">
        <v>0</v>
      </c>
      <c r="I13" s="82" t="b">
        <v>0</v>
      </c>
      <c r="J13" s="82" t="b">
        <v>0</v>
      </c>
      <c r="K13" s="95"/>
      <c r="L13" s="20"/>
    </row>
    <row r="14" spans="2:13" ht="16.2" x14ac:dyDescent="0.3">
      <c r="B14" s="20"/>
      <c r="C14" s="204" t="s">
        <v>77</v>
      </c>
      <c r="D14" s="205"/>
      <c r="E14" s="205"/>
      <c r="F14" s="206"/>
      <c r="G14" s="87" t="s">
        <v>58</v>
      </c>
      <c r="H14" s="140">
        <v>0</v>
      </c>
      <c r="I14" s="140">
        <v>1</v>
      </c>
      <c r="J14" s="140">
        <v>2</v>
      </c>
      <c r="K14" s="88">
        <v>3</v>
      </c>
      <c r="L14" s="20"/>
    </row>
    <row r="15" spans="2:13" ht="14.7" customHeight="1" x14ac:dyDescent="0.3">
      <c r="B15" s="20"/>
      <c r="C15" s="204"/>
      <c r="D15" s="205"/>
      <c r="E15" s="205"/>
      <c r="F15" s="206"/>
      <c r="G15" s="89" t="b">
        <v>0</v>
      </c>
      <c r="H15" s="82" t="b">
        <v>0</v>
      </c>
      <c r="I15" s="82" t="b">
        <v>0</v>
      </c>
      <c r="J15" s="82" t="b">
        <v>0</v>
      </c>
      <c r="K15" s="91" t="b">
        <v>0</v>
      </c>
      <c r="L15" s="20"/>
    </row>
    <row r="16" spans="2:13" ht="14.7" customHeight="1" x14ac:dyDescent="0.3">
      <c r="B16" s="20"/>
      <c r="C16" s="204" t="s">
        <v>78</v>
      </c>
      <c r="D16" s="205"/>
      <c r="E16" s="205"/>
      <c r="F16" s="206"/>
      <c r="G16" s="87" t="s">
        <v>58</v>
      </c>
      <c r="H16" s="140">
        <v>0</v>
      </c>
      <c r="I16" s="140">
        <v>1</v>
      </c>
      <c r="J16" s="140">
        <v>2</v>
      </c>
      <c r="K16" s="88">
        <v>3</v>
      </c>
      <c r="L16" s="20"/>
    </row>
    <row r="17" spans="2:12" ht="14.7" customHeight="1" x14ac:dyDescent="0.3">
      <c r="B17" s="20"/>
      <c r="C17" s="204"/>
      <c r="D17" s="205"/>
      <c r="E17" s="205"/>
      <c r="F17" s="206"/>
      <c r="G17" s="89" t="b">
        <v>0</v>
      </c>
      <c r="H17" s="82" t="b">
        <v>0</v>
      </c>
      <c r="I17" s="82" t="b">
        <v>0</v>
      </c>
      <c r="J17" s="82" t="b">
        <v>0</v>
      </c>
      <c r="K17" s="91" t="b">
        <v>0</v>
      </c>
      <c r="L17" s="20"/>
    </row>
    <row r="18" spans="2:12" ht="14.7" customHeight="1" x14ac:dyDescent="0.3">
      <c r="B18" s="20"/>
      <c r="C18" s="200" t="s">
        <v>79</v>
      </c>
      <c r="D18" s="201"/>
      <c r="E18" s="201"/>
      <c r="F18" s="202"/>
      <c r="G18" s="87" t="s">
        <v>58</v>
      </c>
      <c r="H18" s="140" t="s">
        <v>59</v>
      </c>
      <c r="I18" s="140" t="s">
        <v>60</v>
      </c>
      <c r="J18" s="83"/>
      <c r="K18" s="90"/>
      <c r="L18" s="20"/>
    </row>
    <row r="19" spans="2:12" ht="14.7" customHeight="1" x14ac:dyDescent="0.3">
      <c r="B19" s="20"/>
      <c r="C19" s="200"/>
      <c r="D19" s="201"/>
      <c r="E19" s="201"/>
      <c r="F19" s="202"/>
      <c r="G19" s="89" t="b">
        <v>0</v>
      </c>
      <c r="H19" s="82" t="b">
        <v>0</v>
      </c>
      <c r="I19" s="82" t="b">
        <v>0</v>
      </c>
      <c r="J19" s="83"/>
      <c r="K19" s="90"/>
      <c r="L19" s="20"/>
    </row>
    <row r="20" spans="2:12" ht="14.7" customHeight="1" x14ac:dyDescent="0.3">
      <c r="B20" s="20"/>
      <c r="C20" s="200" t="s">
        <v>80</v>
      </c>
      <c r="D20" s="201"/>
      <c r="E20" s="201"/>
      <c r="F20" s="202"/>
      <c r="G20" s="87" t="s">
        <v>58</v>
      </c>
      <c r="H20" s="140" t="s">
        <v>59</v>
      </c>
      <c r="I20" s="140" t="s">
        <v>60</v>
      </c>
      <c r="J20" s="83"/>
      <c r="K20" s="90"/>
      <c r="L20" s="20"/>
    </row>
    <row r="21" spans="2:12" ht="14.7" customHeight="1" x14ac:dyDescent="0.3">
      <c r="B21" s="20"/>
      <c r="C21" s="200"/>
      <c r="D21" s="201"/>
      <c r="E21" s="201"/>
      <c r="F21" s="202"/>
      <c r="G21" s="89" t="b">
        <v>0</v>
      </c>
      <c r="H21" s="82" t="b">
        <v>0</v>
      </c>
      <c r="I21" s="82" t="b">
        <v>0</v>
      </c>
      <c r="J21" s="83"/>
      <c r="K21" s="90"/>
      <c r="L21" s="20"/>
    </row>
    <row r="22" spans="2:12" ht="16.2" x14ac:dyDescent="0.3">
      <c r="B22" s="20"/>
      <c r="C22" s="200" t="s">
        <v>81</v>
      </c>
      <c r="D22" s="201"/>
      <c r="E22" s="201"/>
      <c r="F22" s="202"/>
      <c r="G22" s="87" t="s">
        <v>58</v>
      </c>
      <c r="H22" s="140" t="s">
        <v>59</v>
      </c>
      <c r="I22" s="140" t="s">
        <v>60</v>
      </c>
      <c r="J22" s="83"/>
      <c r="K22" s="90"/>
      <c r="L22" s="20"/>
    </row>
    <row r="23" spans="2:12" ht="14.7" customHeight="1" x14ac:dyDescent="0.3">
      <c r="B23" s="20"/>
      <c r="C23" s="200"/>
      <c r="D23" s="201"/>
      <c r="E23" s="201"/>
      <c r="F23" s="202"/>
      <c r="G23" s="89" t="b">
        <v>0</v>
      </c>
      <c r="H23" s="82" t="b">
        <v>0</v>
      </c>
      <c r="I23" s="82" t="b">
        <v>0</v>
      </c>
      <c r="J23" s="83"/>
      <c r="K23" s="90"/>
      <c r="L23" s="20"/>
    </row>
    <row r="24" spans="2:12" ht="16.2" x14ac:dyDescent="0.3">
      <c r="B24" s="20"/>
      <c r="C24" s="200" t="s">
        <v>82</v>
      </c>
      <c r="D24" s="201"/>
      <c r="E24" s="201"/>
      <c r="F24" s="202"/>
      <c r="G24" s="87" t="s">
        <v>58</v>
      </c>
      <c r="H24" s="140" t="s">
        <v>59</v>
      </c>
      <c r="I24" s="140" t="s">
        <v>60</v>
      </c>
      <c r="J24" s="83"/>
      <c r="K24" s="90"/>
      <c r="L24" s="20"/>
    </row>
    <row r="25" spans="2:12" ht="14.7" customHeight="1" x14ac:dyDescent="0.3">
      <c r="B25" s="20"/>
      <c r="C25" s="200"/>
      <c r="D25" s="201"/>
      <c r="E25" s="201"/>
      <c r="F25" s="202"/>
      <c r="G25" s="89" t="b">
        <v>0</v>
      </c>
      <c r="H25" s="82" t="b">
        <v>0</v>
      </c>
      <c r="I25" s="82" t="b">
        <v>0</v>
      </c>
      <c r="J25" s="83"/>
      <c r="K25" s="90"/>
      <c r="L25" s="20"/>
    </row>
    <row r="26" spans="2:12" ht="16.2" x14ac:dyDescent="0.3">
      <c r="B26" s="20"/>
      <c r="C26" s="200" t="s">
        <v>83</v>
      </c>
      <c r="D26" s="201"/>
      <c r="E26" s="201"/>
      <c r="F26" s="202"/>
      <c r="G26" s="87" t="s">
        <v>58</v>
      </c>
      <c r="H26" s="140" t="s">
        <v>59</v>
      </c>
      <c r="I26" s="140" t="s">
        <v>60</v>
      </c>
      <c r="J26" s="83"/>
      <c r="K26" s="90"/>
      <c r="L26" s="20"/>
    </row>
    <row r="27" spans="2:12" ht="14.7" customHeight="1" x14ac:dyDescent="0.3">
      <c r="B27" s="20"/>
      <c r="C27" s="200"/>
      <c r="D27" s="201"/>
      <c r="E27" s="201"/>
      <c r="F27" s="202"/>
      <c r="G27" s="89" t="b">
        <v>0</v>
      </c>
      <c r="H27" s="82" t="b">
        <v>0</v>
      </c>
      <c r="I27" s="82" t="b">
        <v>0</v>
      </c>
      <c r="J27" s="83"/>
      <c r="K27" s="90"/>
      <c r="L27" s="20"/>
    </row>
    <row r="28" spans="2:12" ht="14.7" customHeight="1" x14ac:dyDescent="0.3">
      <c r="B28" s="20"/>
      <c r="C28" s="204" t="s">
        <v>84</v>
      </c>
      <c r="D28" s="205"/>
      <c r="E28" s="205"/>
      <c r="F28" s="206"/>
      <c r="G28" s="87" t="s">
        <v>58</v>
      </c>
      <c r="H28" s="140" t="s">
        <v>59</v>
      </c>
      <c r="I28" s="140" t="s">
        <v>60</v>
      </c>
      <c r="J28" s="83"/>
      <c r="K28" s="90"/>
      <c r="L28" s="20"/>
    </row>
    <row r="29" spans="2:12" ht="14.7" customHeight="1" x14ac:dyDescent="0.3">
      <c r="B29" s="20"/>
      <c r="C29" s="204"/>
      <c r="D29" s="205"/>
      <c r="E29" s="205"/>
      <c r="F29" s="206"/>
      <c r="G29" s="89" t="b">
        <v>0</v>
      </c>
      <c r="H29" s="82" t="b">
        <v>0</v>
      </c>
      <c r="I29" s="82" t="b">
        <v>0</v>
      </c>
      <c r="J29" s="83"/>
      <c r="K29" s="90"/>
      <c r="L29" s="20"/>
    </row>
    <row r="30" spans="2:12" ht="14.7" customHeight="1" x14ac:dyDescent="0.3">
      <c r="B30" s="20"/>
      <c r="C30" s="200" t="s">
        <v>85</v>
      </c>
      <c r="D30" s="201"/>
      <c r="E30" s="201"/>
      <c r="F30" s="202"/>
      <c r="G30" s="87" t="s">
        <v>58</v>
      </c>
      <c r="H30" s="140">
        <v>0</v>
      </c>
      <c r="I30" s="140">
        <v>1</v>
      </c>
      <c r="J30" s="140">
        <v>2</v>
      </c>
      <c r="K30" s="88">
        <v>3</v>
      </c>
      <c r="L30" s="20"/>
    </row>
    <row r="31" spans="2:12" ht="14.7" customHeight="1" x14ac:dyDescent="0.3">
      <c r="B31" s="20"/>
      <c r="C31" s="200"/>
      <c r="D31" s="201"/>
      <c r="E31" s="201"/>
      <c r="F31" s="202"/>
      <c r="G31" s="89" t="b">
        <v>0</v>
      </c>
      <c r="H31" s="82" t="b">
        <v>0</v>
      </c>
      <c r="I31" s="82" t="b">
        <v>0</v>
      </c>
      <c r="J31" s="82" t="b">
        <v>0</v>
      </c>
      <c r="K31" s="91" t="b">
        <v>0</v>
      </c>
      <c r="L31" s="20"/>
    </row>
    <row r="32" spans="2:12" ht="14.7" customHeight="1" x14ac:dyDescent="0.3">
      <c r="B32" s="20"/>
      <c r="C32" s="200" t="s">
        <v>86</v>
      </c>
      <c r="D32" s="201"/>
      <c r="E32" s="201"/>
      <c r="F32" s="202"/>
      <c r="G32" s="87" t="s">
        <v>58</v>
      </c>
      <c r="H32" s="140">
        <v>0</v>
      </c>
      <c r="I32" s="140">
        <v>1</v>
      </c>
      <c r="J32" s="140">
        <v>2</v>
      </c>
      <c r="K32" s="88">
        <v>3</v>
      </c>
      <c r="L32" s="20"/>
    </row>
    <row r="33" spans="2:12" ht="14.7" customHeight="1" x14ac:dyDescent="0.3">
      <c r="B33" s="20"/>
      <c r="C33" s="200"/>
      <c r="D33" s="201"/>
      <c r="E33" s="201"/>
      <c r="F33" s="202"/>
      <c r="G33" s="89" t="b">
        <v>0</v>
      </c>
      <c r="H33" s="82" t="b">
        <v>0</v>
      </c>
      <c r="I33" s="82" t="b">
        <v>0</v>
      </c>
      <c r="J33" s="82" t="b">
        <v>0</v>
      </c>
      <c r="K33" s="91" t="b">
        <v>0</v>
      </c>
      <c r="L33" s="20"/>
    </row>
    <row r="34" spans="2:12" ht="23.7" customHeight="1" x14ac:dyDescent="0.4">
      <c r="B34" s="20"/>
      <c r="C34" s="22" t="s">
        <v>87</v>
      </c>
      <c r="D34" s="22"/>
      <c r="E34" s="22"/>
      <c r="F34" s="20"/>
      <c r="G34" s="20"/>
      <c r="H34" s="20"/>
      <c r="I34" s="20"/>
      <c r="J34" s="21"/>
      <c r="K34" s="21"/>
      <c r="L34" s="20"/>
    </row>
    <row r="35" spans="2:12" ht="16.2" x14ac:dyDescent="0.3">
      <c r="B35" s="20"/>
      <c r="C35" s="198" t="s">
        <v>88</v>
      </c>
      <c r="D35" s="198"/>
      <c r="E35" s="198"/>
      <c r="F35" s="198"/>
      <c r="G35" s="87" t="s">
        <v>58</v>
      </c>
      <c r="H35" s="140" t="s">
        <v>59</v>
      </c>
      <c r="I35" s="140" t="s">
        <v>60</v>
      </c>
      <c r="J35" s="83"/>
      <c r="K35" s="90"/>
      <c r="L35" s="20"/>
    </row>
    <row r="36" spans="2:12" ht="14.7" customHeight="1" x14ac:dyDescent="0.3">
      <c r="B36" s="20"/>
      <c r="C36" s="198"/>
      <c r="D36" s="198"/>
      <c r="E36" s="198"/>
      <c r="F36" s="198"/>
      <c r="G36" s="89" t="b">
        <v>0</v>
      </c>
      <c r="H36" s="82" t="b">
        <v>0</v>
      </c>
      <c r="I36" s="82" t="b">
        <v>0</v>
      </c>
      <c r="J36" s="83"/>
      <c r="K36" s="90"/>
      <c r="L36" s="20"/>
    </row>
    <row r="37" spans="2:12" ht="16.2" x14ac:dyDescent="0.3">
      <c r="B37" s="20"/>
      <c r="C37" s="198" t="s">
        <v>89</v>
      </c>
      <c r="D37" s="198"/>
      <c r="E37" s="198"/>
      <c r="F37" s="198"/>
      <c r="G37" s="87" t="s">
        <v>58</v>
      </c>
      <c r="H37" s="140">
        <v>0</v>
      </c>
      <c r="I37" s="140">
        <v>1</v>
      </c>
      <c r="J37" s="140">
        <v>2</v>
      </c>
      <c r="K37" s="88">
        <v>3</v>
      </c>
      <c r="L37" s="20"/>
    </row>
    <row r="38" spans="2:12" ht="14.7" customHeight="1" x14ac:dyDescent="0.3">
      <c r="B38" s="20"/>
      <c r="C38" s="198"/>
      <c r="D38" s="198"/>
      <c r="E38" s="198"/>
      <c r="F38" s="198"/>
      <c r="G38" s="89" t="b">
        <v>0</v>
      </c>
      <c r="H38" s="82" t="b">
        <v>0</v>
      </c>
      <c r="I38" s="82" t="b">
        <v>0</v>
      </c>
      <c r="J38" s="82" t="b">
        <v>0</v>
      </c>
      <c r="K38" s="91" t="b">
        <v>0</v>
      </c>
      <c r="L38" s="20"/>
    </row>
    <row r="39" spans="2:12" ht="16.2" x14ac:dyDescent="0.3">
      <c r="B39" s="20"/>
      <c r="C39" s="197" t="s">
        <v>90</v>
      </c>
      <c r="D39" s="197"/>
      <c r="E39" s="197"/>
      <c r="F39" s="197"/>
      <c r="G39" s="87" t="s">
        <v>58</v>
      </c>
      <c r="H39" s="140">
        <v>0</v>
      </c>
      <c r="I39" s="140">
        <v>1</v>
      </c>
      <c r="J39" s="140">
        <v>2</v>
      </c>
      <c r="K39" s="88">
        <v>3</v>
      </c>
      <c r="L39" s="20"/>
    </row>
    <row r="40" spans="2:12" ht="14.7" customHeight="1" x14ac:dyDescent="0.3">
      <c r="B40" s="20"/>
      <c r="C40" s="197"/>
      <c r="D40" s="197"/>
      <c r="E40" s="197"/>
      <c r="F40" s="197"/>
      <c r="G40" s="89" t="b">
        <v>0</v>
      </c>
      <c r="H40" s="82" t="b">
        <v>0</v>
      </c>
      <c r="I40" s="82" t="b">
        <v>0</v>
      </c>
      <c r="J40" s="82" t="b">
        <v>0</v>
      </c>
      <c r="K40" s="91" t="b">
        <v>0</v>
      </c>
      <c r="L40" s="20"/>
    </row>
    <row r="41" spans="2:12" ht="14.7" customHeight="1" x14ac:dyDescent="0.3">
      <c r="B41" s="20"/>
      <c r="C41" s="198" t="s">
        <v>91</v>
      </c>
      <c r="D41" s="198"/>
      <c r="E41" s="198"/>
      <c r="F41" s="198"/>
      <c r="G41" s="87" t="s">
        <v>58</v>
      </c>
      <c r="H41" s="140" t="s">
        <v>59</v>
      </c>
      <c r="I41" s="140" t="s">
        <v>60</v>
      </c>
      <c r="J41" s="83"/>
      <c r="K41" s="90"/>
      <c r="L41" s="20"/>
    </row>
    <row r="42" spans="2:12" ht="14.7" customHeight="1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83"/>
      <c r="K42" s="90"/>
      <c r="L42" s="20"/>
    </row>
    <row r="43" spans="2:12" ht="14.7" customHeight="1" x14ac:dyDescent="0.3">
      <c r="B43" s="20"/>
      <c r="C43" s="198" t="s">
        <v>92</v>
      </c>
      <c r="D43" s="198"/>
      <c r="E43" s="198"/>
      <c r="F43" s="198"/>
      <c r="G43" s="87" t="s">
        <v>58</v>
      </c>
      <c r="H43" s="140" t="s">
        <v>59</v>
      </c>
      <c r="I43" s="140" t="s">
        <v>60</v>
      </c>
      <c r="J43" s="83"/>
      <c r="K43" s="90"/>
      <c r="L43" s="20"/>
    </row>
    <row r="44" spans="2:12" ht="14.7" customHeight="1" x14ac:dyDescent="0.3">
      <c r="B44" s="20"/>
      <c r="C44" s="198"/>
      <c r="D44" s="198"/>
      <c r="E44" s="198"/>
      <c r="F44" s="198"/>
      <c r="G44" s="89" t="b">
        <v>0</v>
      </c>
      <c r="H44" s="82" t="b">
        <v>0</v>
      </c>
      <c r="I44" s="82" t="b">
        <v>0</v>
      </c>
      <c r="J44" s="83"/>
      <c r="K44" s="90"/>
      <c r="L44" s="20"/>
    </row>
    <row r="45" spans="2:12" ht="24" customHeight="1" x14ac:dyDescent="0.4">
      <c r="B45" s="20"/>
      <c r="C45" s="22" t="s">
        <v>93</v>
      </c>
      <c r="D45" s="22"/>
      <c r="E45" s="22"/>
      <c r="F45" s="20"/>
      <c r="G45" s="20"/>
      <c r="H45" s="20"/>
      <c r="I45" s="20"/>
      <c r="J45" s="21"/>
      <c r="K45" s="21"/>
      <c r="L45" s="20"/>
    </row>
    <row r="46" spans="2:12" ht="16.2" x14ac:dyDescent="0.3">
      <c r="B46" s="20"/>
      <c r="C46" s="197" t="s">
        <v>94</v>
      </c>
      <c r="D46" s="197"/>
      <c r="E46" s="197"/>
      <c r="F46" s="197"/>
      <c r="G46" s="87" t="s">
        <v>58</v>
      </c>
      <c r="H46" s="140" t="s">
        <v>59</v>
      </c>
      <c r="I46" s="140" t="s">
        <v>60</v>
      </c>
      <c r="J46" s="83"/>
      <c r="K46" s="90"/>
      <c r="L46" s="20"/>
    </row>
    <row r="47" spans="2:12" ht="14.7" customHeight="1" x14ac:dyDescent="0.3">
      <c r="B47" s="20"/>
      <c r="C47" s="197"/>
      <c r="D47" s="197"/>
      <c r="E47" s="197"/>
      <c r="F47" s="197"/>
      <c r="G47" s="89" t="b">
        <v>0</v>
      </c>
      <c r="H47" s="82" t="b">
        <v>0</v>
      </c>
      <c r="I47" s="82" t="b">
        <v>0</v>
      </c>
      <c r="J47" s="83"/>
      <c r="K47" s="90"/>
      <c r="L47" s="20"/>
    </row>
    <row r="48" spans="2:12" ht="16.2" x14ac:dyDescent="0.3">
      <c r="B48" s="20"/>
      <c r="C48" s="198" t="s">
        <v>95</v>
      </c>
      <c r="D48" s="198"/>
      <c r="E48" s="198"/>
      <c r="F48" s="198"/>
      <c r="G48" s="87" t="s">
        <v>58</v>
      </c>
      <c r="H48" s="140">
        <v>0</v>
      </c>
      <c r="I48" s="140">
        <v>1</v>
      </c>
      <c r="J48" s="140">
        <v>2</v>
      </c>
      <c r="K48" s="88">
        <v>3</v>
      </c>
      <c r="L48" s="20"/>
    </row>
    <row r="49" spans="2:12" ht="14.7" customHeight="1" x14ac:dyDescent="0.3">
      <c r="B49" s="20"/>
      <c r="C49" s="198"/>
      <c r="D49" s="198"/>
      <c r="E49" s="198"/>
      <c r="F49" s="198"/>
      <c r="G49" s="89" t="b">
        <v>0</v>
      </c>
      <c r="H49" s="82" t="b">
        <v>0</v>
      </c>
      <c r="I49" s="82" t="b">
        <v>0</v>
      </c>
      <c r="J49" s="82" t="b">
        <v>0</v>
      </c>
      <c r="K49" s="91" t="b">
        <v>0</v>
      </c>
      <c r="L49" s="20"/>
    </row>
    <row r="50" spans="2:12" ht="16.2" x14ac:dyDescent="0.3">
      <c r="B50" s="20"/>
      <c r="C50" s="198" t="s">
        <v>96</v>
      </c>
      <c r="D50" s="198"/>
      <c r="E50" s="198"/>
      <c r="F50" s="198"/>
      <c r="G50" s="87" t="s">
        <v>58</v>
      </c>
      <c r="H50" s="140">
        <v>0</v>
      </c>
      <c r="I50" s="140">
        <v>1</v>
      </c>
      <c r="J50" s="140">
        <v>2</v>
      </c>
      <c r="K50" s="88">
        <v>3</v>
      </c>
      <c r="L50" s="20"/>
    </row>
    <row r="51" spans="2:12" ht="14.7" customHeight="1" x14ac:dyDescent="0.3">
      <c r="B51" s="20"/>
      <c r="C51" s="198"/>
      <c r="D51" s="198"/>
      <c r="E51" s="198"/>
      <c r="F51" s="198"/>
      <c r="G51" s="89" t="b">
        <v>0</v>
      </c>
      <c r="H51" s="82" t="b">
        <v>0</v>
      </c>
      <c r="I51" s="82" t="b">
        <v>0</v>
      </c>
      <c r="J51" s="82" t="b">
        <v>0</v>
      </c>
      <c r="K51" s="91" t="b">
        <v>0</v>
      </c>
      <c r="L51" s="20"/>
    </row>
    <row r="52" spans="2:12" ht="16.2" x14ac:dyDescent="0.3">
      <c r="B52" s="20"/>
      <c r="C52" s="197" t="s">
        <v>97</v>
      </c>
      <c r="D52" s="197"/>
      <c r="E52" s="197"/>
      <c r="F52" s="197"/>
      <c r="G52" s="87" t="s">
        <v>58</v>
      </c>
      <c r="H52" s="140" t="s">
        <v>59</v>
      </c>
      <c r="I52" s="140" t="s">
        <v>60</v>
      </c>
      <c r="J52" s="83"/>
      <c r="K52" s="90"/>
      <c r="L52" s="20"/>
    </row>
    <row r="53" spans="2:12" ht="14.7" customHeight="1" x14ac:dyDescent="0.3">
      <c r="B53" s="20"/>
      <c r="C53" s="197"/>
      <c r="D53" s="197"/>
      <c r="E53" s="197"/>
      <c r="F53" s="197"/>
      <c r="G53" s="89" t="b">
        <v>0</v>
      </c>
      <c r="H53" s="82" t="b">
        <v>0</v>
      </c>
      <c r="I53" s="82" t="b">
        <v>0</v>
      </c>
      <c r="J53" s="83"/>
      <c r="K53" s="90"/>
      <c r="L53" s="20"/>
    </row>
    <row r="54" spans="2:12" ht="14.7" customHeight="1" x14ac:dyDescent="0.3">
      <c r="B54" s="20"/>
      <c r="C54" s="198" t="s">
        <v>98</v>
      </c>
      <c r="D54" s="198"/>
      <c r="E54" s="198"/>
      <c r="F54" s="198"/>
      <c r="G54" s="87" t="s">
        <v>58</v>
      </c>
      <c r="H54" s="140">
        <v>0</v>
      </c>
      <c r="I54" s="140">
        <v>1</v>
      </c>
      <c r="J54" s="140">
        <v>2</v>
      </c>
      <c r="K54" s="88">
        <v>3</v>
      </c>
      <c r="L54" s="20"/>
    </row>
    <row r="55" spans="2:12" ht="14.7" customHeight="1" x14ac:dyDescent="0.3">
      <c r="B55" s="20"/>
      <c r="C55" s="198"/>
      <c r="D55" s="198"/>
      <c r="E55" s="198"/>
      <c r="F55" s="198"/>
      <c r="G55" s="89" t="b">
        <v>0</v>
      </c>
      <c r="H55" s="82" t="b">
        <v>0</v>
      </c>
      <c r="I55" s="82" t="b">
        <v>0</v>
      </c>
      <c r="J55" s="82" t="b">
        <v>0</v>
      </c>
      <c r="K55" s="91" t="b">
        <v>0</v>
      </c>
      <c r="L55" s="20"/>
    </row>
    <row r="56" spans="2:12" ht="14.7" customHeight="1" x14ac:dyDescent="0.3">
      <c r="B56" s="20"/>
      <c r="C56" s="198" t="s">
        <v>99</v>
      </c>
      <c r="D56" s="198"/>
      <c r="E56" s="198"/>
      <c r="F56" s="198"/>
      <c r="G56" s="87" t="s">
        <v>58</v>
      </c>
      <c r="H56" s="140">
        <v>0</v>
      </c>
      <c r="I56" s="140">
        <v>1</v>
      </c>
      <c r="J56" s="140">
        <v>2</v>
      </c>
      <c r="K56" s="88">
        <v>3</v>
      </c>
      <c r="L56" s="20"/>
    </row>
    <row r="57" spans="2:12" ht="14.7" customHeight="1" x14ac:dyDescent="0.3">
      <c r="B57" s="20"/>
      <c r="C57" s="198"/>
      <c r="D57" s="198"/>
      <c r="E57" s="198"/>
      <c r="F57" s="198"/>
      <c r="G57" s="89" t="b">
        <v>0</v>
      </c>
      <c r="H57" s="82" t="b">
        <v>0</v>
      </c>
      <c r="I57" s="82" t="b">
        <v>0</v>
      </c>
      <c r="J57" s="82" t="b">
        <v>0</v>
      </c>
      <c r="K57" s="91" t="b">
        <v>0</v>
      </c>
      <c r="L57" s="20"/>
    </row>
    <row r="58" spans="2:12" x14ac:dyDescent="0.3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2:12" x14ac:dyDescent="0.3">
      <c r="B59" s="29"/>
      <c r="C59" s="29"/>
      <c r="D59" s="29"/>
      <c r="E59" s="29"/>
      <c r="F59" s="31"/>
      <c r="G59" s="31"/>
      <c r="H59" s="31"/>
      <c r="I59" s="30"/>
      <c r="J59" s="30"/>
      <c r="K59" s="30"/>
      <c r="L59" s="30"/>
    </row>
    <row r="60" spans="2:12" x14ac:dyDescent="0.3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x14ac:dyDescent="0.3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2" x14ac:dyDescent="0.3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2" x14ac:dyDescent="0.3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</sheetData>
  <sheetProtection sheet="1" objects="1" scenarios="1"/>
  <mergeCells count="25">
    <mergeCell ref="C54:F55"/>
    <mergeCell ref="C56:F57"/>
    <mergeCell ref="C46:F47"/>
    <mergeCell ref="C41:F42"/>
    <mergeCell ref="C43:F44"/>
    <mergeCell ref="C48:F49"/>
    <mergeCell ref="C50:F51"/>
    <mergeCell ref="C52:F53"/>
    <mergeCell ref="C30:F31"/>
    <mergeCell ref="C32:F33"/>
    <mergeCell ref="C35:F36"/>
    <mergeCell ref="C37:F38"/>
    <mergeCell ref="C39:F40"/>
    <mergeCell ref="C20:F21"/>
    <mergeCell ref="C22:F23"/>
    <mergeCell ref="C24:F25"/>
    <mergeCell ref="C26:F27"/>
    <mergeCell ref="C28:F29"/>
    <mergeCell ref="C18:F19"/>
    <mergeCell ref="F3:K5"/>
    <mergeCell ref="C8:E8"/>
    <mergeCell ref="C10:F11"/>
    <mergeCell ref="C12:F13"/>
    <mergeCell ref="C14:F15"/>
    <mergeCell ref="C16:F17"/>
  </mergeCells>
  <conditionalFormatting sqref="C10:F11">
    <cfRule type="expression" dxfId="482" priority="20">
      <formula>AND($G$11:$I$11=FALSE)</formula>
    </cfRule>
  </conditionalFormatting>
  <conditionalFormatting sqref="C12:F13">
    <cfRule type="expression" dxfId="481" priority="19">
      <formula>AND($H$13:$K$13=FALSE)</formula>
    </cfRule>
  </conditionalFormatting>
  <conditionalFormatting sqref="C14:F15">
    <cfRule type="expression" dxfId="480" priority="18">
      <formula>AND($G$15:$K$15=FALSE)</formula>
    </cfRule>
  </conditionalFormatting>
  <conditionalFormatting sqref="C16:F17">
    <cfRule type="expression" dxfId="479" priority="17">
      <formula>AND($G$17:$K$17=FALSE)</formula>
    </cfRule>
  </conditionalFormatting>
  <conditionalFormatting sqref="C18:F19">
    <cfRule type="expression" dxfId="478" priority="16">
      <formula>AND($G$19:$I$19=FALSE)</formula>
    </cfRule>
  </conditionalFormatting>
  <conditionalFormatting sqref="C20:F21 C32:F33">
    <cfRule type="expression" dxfId="477" priority="15">
      <formula>AND($G$21:$I$21=FALSE)</formula>
    </cfRule>
  </conditionalFormatting>
  <conditionalFormatting sqref="C22:F23">
    <cfRule type="expression" dxfId="476" priority="14">
      <formula>AND($G$23:$I$23=FALSE)</formula>
    </cfRule>
  </conditionalFormatting>
  <conditionalFormatting sqref="C24:F25">
    <cfRule type="expression" dxfId="475" priority="13">
      <formula>AND($G$25:$I$25=FALSE)</formula>
    </cfRule>
  </conditionalFormatting>
  <conditionalFormatting sqref="C26:F27">
    <cfRule type="expression" dxfId="474" priority="12">
      <formula>AND($G$27:$I$27=FALSE)</formula>
    </cfRule>
  </conditionalFormatting>
  <conditionalFormatting sqref="C28:F29">
    <cfRule type="expression" dxfId="473" priority="11">
      <formula>AND($G$29:$I$29=FALSE)</formula>
    </cfRule>
  </conditionalFormatting>
  <conditionalFormatting sqref="C30:F31">
    <cfRule type="expression" dxfId="472" priority="10">
      <formula>AND($G$31:$K$31=FALSE)</formula>
    </cfRule>
  </conditionalFormatting>
  <conditionalFormatting sqref="C35:F36">
    <cfRule type="expression" dxfId="471" priority="9">
      <formula>AND($G$36:$I$36=FALSE)</formula>
    </cfRule>
  </conditionalFormatting>
  <conditionalFormatting sqref="C37:F38">
    <cfRule type="expression" dxfId="470" priority="8">
      <formula>AND($G$38:$K$38=FALSE)</formula>
    </cfRule>
  </conditionalFormatting>
  <conditionalFormatting sqref="C39:F40">
    <cfRule type="expression" dxfId="469" priority="7">
      <formula>AND($G$40:$K$40=FALSE)</formula>
    </cfRule>
  </conditionalFormatting>
  <conditionalFormatting sqref="C41:F42">
    <cfRule type="expression" dxfId="468" priority="6">
      <formula>AND($G$42:$I$42=FALSE)</formula>
    </cfRule>
  </conditionalFormatting>
  <conditionalFormatting sqref="C43:F44 C56:F57">
    <cfRule type="expression" dxfId="467" priority="5">
      <formula>AND($G$44:$I$44=FALSE)</formula>
    </cfRule>
  </conditionalFormatting>
  <conditionalFormatting sqref="C46:F47 C52:F53">
    <cfRule type="expression" dxfId="466" priority="2">
      <formula>AND($G$47:$K$47=FALSE)</formula>
    </cfRule>
  </conditionalFormatting>
  <conditionalFormatting sqref="C48:F49">
    <cfRule type="expression" dxfId="465" priority="4">
      <formula>AND($G$49:$K$49=FALSE)</formula>
    </cfRule>
  </conditionalFormatting>
  <conditionalFormatting sqref="C50:F51">
    <cfRule type="expression" dxfId="464" priority="3">
      <formula>AND($G$51:$K$51=FALSE)</formula>
    </cfRule>
  </conditionalFormatting>
  <conditionalFormatting sqref="C54:F55">
    <cfRule type="expression" dxfId="463" priority="1">
      <formula>AND($G$55:$K$55=FALSE)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07E4-E456-49C7-89BB-2CD9A8EB93D8}">
  <sheetPr codeName="Feuil9"/>
  <dimension ref="B2:M60"/>
  <sheetViews>
    <sheetView showGridLines="0" tabSelected="1" showWhiteSpace="0" view="pageBreakPreview" zoomScaleNormal="115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826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100</v>
      </c>
      <c r="D8" s="203"/>
      <c r="E8" s="203"/>
      <c r="F8" s="203"/>
      <c r="G8" s="203"/>
      <c r="H8" s="20"/>
      <c r="I8" s="20"/>
      <c r="J8" s="20"/>
      <c r="K8" s="20"/>
      <c r="L8" s="20"/>
    </row>
    <row r="9" spans="2:13" ht="18" x14ac:dyDescent="0.4">
      <c r="B9" s="20"/>
      <c r="C9" s="22" t="s">
        <v>101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16.350000000000001" customHeight="1" x14ac:dyDescent="0.3">
      <c r="B10" s="20"/>
      <c r="C10" s="198" t="s">
        <v>102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350000000000001" customHeight="1" x14ac:dyDescent="0.3">
      <c r="B12" s="20"/>
      <c r="C12" s="198" t="s">
        <v>103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3"/>
      <c r="K13" s="90"/>
      <c r="L13" s="20"/>
    </row>
    <row r="14" spans="2:13" ht="16.2" x14ac:dyDescent="0.3">
      <c r="B14" s="20"/>
      <c r="C14" s="198" t="s">
        <v>104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3"/>
      <c r="K15" s="90"/>
      <c r="L15" s="20"/>
    </row>
    <row r="16" spans="2:13" ht="16.2" x14ac:dyDescent="0.3">
      <c r="B16" s="20"/>
      <c r="C16" s="197" t="s">
        <v>105</v>
      </c>
      <c r="D16" s="197"/>
      <c r="E16" s="197"/>
      <c r="F16" s="197"/>
      <c r="G16" s="87" t="s">
        <v>58</v>
      </c>
      <c r="H16" s="140" t="s">
        <v>59</v>
      </c>
      <c r="I16" s="140" t="s">
        <v>60</v>
      </c>
      <c r="J16" s="140"/>
      <c r="K16" s="88"/>
      <c r="L16" s="20"/>
    </row>
    <row r="17" spans="2:12" ht="14.7" customHeight="1" x14ac:dyDescent="0.3">
      <c r="B17" s="20"/>
      <c r="C17" s="197"/>
      <c r="D17" s="197"/>
      <c r="E17" s="197"/>
      <c r="F17" s="197"/>
      <c r="G17" s="89" t="b">
        <v>0</v>
      </c>
      <c r="H17" s="82" t="b">
        <v>0</v>
      </c>
      <c r="I17" s="82" t="b">
        <v>0</v>
      </c>
      <c r="J17" s="83"/>
      <c r="K17" s="90"/>
      <c r="L17" s="20"/>
    </row>
    <row r="18" spans="2:12" ht="16.2" x14ac:dyDescent="0.3">
      <c r="B18" s="20"/>
      <c r="C18" s="198" t="s">
        <v>106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90"/>
      <c r="L19" s="20"/>
    </row>
    <row r="20" spans="2:12" ht="16.350000000000001" customHeight="1" x14ac:dyDescent="0.3">
      <c r="B20" s="20"/>
      <c r="C20" s="198" t="s">
        <v>107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83"/>
      <c r="K21" s="90"/>
      <c r="L21" s="20"/>
    </row>
    <row r="22" spans="2:12" ht="16.350000000000001" customHeight="1" x14ac:dyDescent="0.3">
      <c r="B22" s="20"/>
      <c r="C22" s="198" t="s">
        <v>108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3"/>
      <c r="K23" s="90"/>
      <c r="L23" s="20"/>
    </row>
    <row r="24" spans="2:12" ht="16.2" x14ac:dyDescent="0.3">
      <c r="B24" s="20"/>
      <c r="C24" s="198" t="s">
        <v>109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83"/>
      <c r="K25" s="90"/>
      <c r="L25" s="20"/>
    </row>
    <row r="26" spans="2:12" ht="16.2" x14ac:dyDescent="0.3">
      <c r="B26" s="20"/>
      <c r="C26" s="197" t="s">
        <v>110</v>
      </c>
      <c r="D26" s="197"/>
      <c r="E26" s="197"/>
      <c r="F26" s="197"/>
      <c r="G26" s="87" t="s">
        <v>58</v>
      </c>
      <c r="H26" s="140">
        <v>0</v>
      </c>
      <c r="I26" s="140">
        <v>1</v>
      </c>
      <c r="J26" s="140">
        <v>2</v>
      </c>
      <c r="K26" s="88">
        <v>3</v>
      </c>
      <c r="L26" s="20"/>
    </row>
    <row r="27" spans="2:12" ht="14.7" customHeight="1" x14ac:dyDescent="0.3">
      <c r="B27" s="20"/>
      <c r="C27" s="197"/>
      <c r="D27" s="197"/>
      <c r="E27" s="197"/>
      <c r="F27" s="197"/>
      <c r="G27" s="89" t="b">
        <v>0</v>
      </c>
      <c r="H27" s="82" t="b">
        <v>0</v>
      </c>
      <c r="I27" s="82" t="b">
        <v>0</v>
      </c>
      <c r="J27" s="82" t="b">
        <v>0</v>
      </c>
      <c r="K27" s="91" t="b">
        <v>0</v>
      </c>
      <c r="L27" s="20"/>
    </row>
    <row r="28" spans="2:12" ht="16.2" x14ac:dyDescent="0.3">
      <c r="B28" s="20"/>
      <c r="C28" s="198" t="s">
        <v>111</v>
      </c>
      <c r="D28" s="198"/>
      <c r="E28" s="198"/>
      <c r="F28" s="198"/>
      <c r="G28" s="87" t="s">
        <v>58</v>
      </c>
      <c r="H28" s="140">
        <v>0</v>
      </c>
      <c r="I28" s="140">
        <v>1</v>
      </c>
      <c r="J28" s="140">
        <v>2</v>
      </c>
      <c r="K28" s="88">
        <v>3</v>
      </c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82" t="b">
        <v>0</v>
      </c>
      <c r="K29" s="91" t="b">
        <v>0</v>
      </c>
      <c r="L29" s="20"/>
    </row>
    <row r="30" spans="2:12" ht="24" customHeight="1" x14ac:dyDescent="0.4">
      <c r="B30" s="20"/>
      <c r="C30" s="22" t="s">
        <v>112</v>
      </c>
      <c r="D30" s="22"/>
      <c r="E30" s="22"/>
      <c r="F30" s="20"/>
      <c r="G30" s="20"/>
      <c r="H30" s="20"/>
      <c r="I30" s="20"/>
      <c r="J30" s="21"/>
      <c r="K30" s="21"/>
      <c r="L30" s="20"/>
    </row>
    <row r="31" spans="2:12" ht="16.350000000000001" customHeight="1" x14ac:dyDescent="0.3">
      <c r="B31" s="20"/>
      <c r="C31" s="198" t="s">
        <v>113</v>
      </c>
      <c r="D31" s="198"/>
      <c r="E31" s="198"/>
      <c r="F31" s="198"/>
      <c r="G31" s="87" t="s">
        <v>58</v>
      </c>
      <c r="H31" s="140" t="s">
        <v>59</v>
      </c>
      <c r="I31" s="140" t="s">
        <v>60</v>
      </c>
      <c r="J31" s="140"/>
      <c r="K31" s="88"/>
      <c r="L31" s="20"/>
    </row>
    <row r="32" spans="2:12" ht="14.7" customHeight="1" x14ac:dyDescent="0.3">
      <c r="B32" s="20"/>
      <c r="C32" s="198"/>
      <c r="D32" s="198"/>
      <c r="E32" s="198"/>
      <c r="F32" s="198"/>
      <c r="G32" s="89" t="b">
        <v>0</v>
      </c>
      <c r="H32" s="82" t="b">
        <v>0</v>
      </c>
      <c r="I32" s="82" t="b">
        <v>0</v>
      </c>
      <c r="J32" s="83"/>
      <c r="K32" s="90"/>
      <c r="L32" s="20"/>
    </row>
    <row r="33" spans="2:12" ht="16.350000000000001" customHeight="1" x14ac:dyDescent="0.3">
      <c r="B33" s="20"/>
      <c r="C33" s="198" t="s">
        <v>114</v>
      </c>
      <c r="D33" s="198"/>
      <c r="E33" s="198"/>
      <c r="F33" s="198"/>
      <c r="G33" s="87" t="s">
        <v>58</v>
      </c>
      <c r="H33" s="140">
        <v>0</v>
      </c>
      <c r="I33" s="140">
        <v>1</v>
      </c>
      <c r="J33" s="140">
        <v>2</v>
      </c>
      <c r="K33" s="88">
        <v>3</v>
      </c>
      <c r="L33" s="20"/>
    </row>
    <row r="34" spans="2:12" ht="14.7" customHeight="1" x14ac:dyDescent="0.3">
      <c r="B34" s="20"/>
      <c r="C34" s="198"/>
      <c r="D34" s="198"/>
      <c r="E34" s="198"/>
      <c r="F34" s="198"/>
      <c r="G34" s="89" t="b">
        <v>0</v>
      </c>
      <c r="H34" s="82" t="b">
        <v>0</v>
      </c>
      <c r="I34" s="82" t="b">
        <v>0</v>
      </c>
      <c r="J34" s="82" t="b">
        <v>0</v>
      </c>
      <c r="K34" s="91" t="b">
        <v>0</v>
      </c>
      <c r="L34" s="20"/>
    </row>
    <row r="35" spans="2:12" ht="16.2" x14ac:dyDescent="0.3">
      <c r="B35" s="20"/>
      <c r="C35" s="197" t="s">
        <v>115</v>
      </c>
      <c r="D35" s="197"/>
      <c r="E35" s="197"/>
      <c r="F35" s="197"/>
      <c r="G35" s="87" t="s">
        <v>58</v>
      </c>
      <c r="H35" s="140">
        <v>0</v>
      </c>
      <c r="I35" s="140">
        <v>1</v>
      </c>
      <c r="J35" s="140">
        <v>2</v>
      </c>
      <c r="K35" s="88">
        <v>3</v>
      </c>
      <c r="L35" s="20"/>
    </row>
    <row r="36" spans="2:12" ht="14.7" customHeight="1" x14ac:dyDescent="0.3">
      <c r="B36" s="20"/>
      <c r="C36" s="197"/>
      <c r="D36" s="197"/>
      <c r="E36" s="197"/>
      <c r="F36" s="197"/>
      <c r="G36" s="89" t="b">
        <v>0</v>
      </c>
      <c r="H36" s="82" t="b">
        <v>0</v>
      </c>
      <c r="I36" s="82" t="b">
        <v>0</v>
      </c>
      <c r="J36" s="82" t="b">
        <v>0</v>
      </c>
      <c r="K36" s="91" t="b">
        <v>0</v>
      </c>
      <c r="L36" s="20"/>
    </row>
    <row r="37" spans="2:12" ht="16.2" x14ac:dyDescent="0.3">
      <c r="B37" s="20"/>
      <c r="C37" s="197" t="s">
        <v>116</v>
      </c>
      <c r="D37" s="197"/>
      <c r="E37" s="197"/>
      <c r="F37" s="197"/>
      <c r="G37" s="87" t="s">
        <v>58</v>
      </c>
      <c r="H37" s="140" t="s">
        <v>59</v>
      </c>
      <c r="I37" s="140" t="s">
        <v>60</v>
      </c>
      <c r="J37" s="140"/>
      <c r="K37" s="88"/>
      <c r="L37" s="20"/>
    </row>
    <row r="38" spans="2:12" ht="14.7" customHeight="1" x14ac:dyDescent="0.3">
      <c r="B38" s="20"/>
      <c r="C38" s="197"/>
      <c r="D38" s="197"/>
      <c r="E38" s="197"/>
      <c r="F38" s="197"/>
      <c r="G38" s="89" t="b">
        <v>0</v>
      </c>
      <c r="H38" s="82" t="b">
        <v>0</v>
      </c>
      <c r="I38" s="82" t="b">
        <v>0</v>
      </c>
      <c r="J38" s="83"/>
      <c r="K38" s="90"/>
      <c r="L38" s="20"/>
    </row>
    <row r="39" spans="2:12" ht="16.350000000000001" customHeight="1" x14ac:dyDescent="0.3">
      <c r="B39" s="20"/>
      <c r="C39" s="198" t="s">
        <v>117</v>
      </c>
      <c r="D39" s="198"/>
      <c r="E39" s="198"/>
      <c r="F39" s="198"/>
      <c r="G39" s="87" t="s">
        <v>58</v>
      </c>
      <c r="H39" s="140" t="s">
        <v>59</v>
      </c>
      <c r="I39" s="140" t="s">
        <v>60</v>
      </c>
      <c r="J39" s="140"/>
      <c r="K39" s="88"/>
      <c r="L39" s="20"/>
    </row>
    <row r="40" spans="2:12" ht="14.7" customHeight="1" x14ac:dyDescent="0.3">
      <c r="B40" s="20"/>
      <c r="C40" s="198"/>
      <c r="D40" s="198"/>
      <c r="E40" s="198"/>
      <c r="F40" s="198"/>
      <c r="G40" s="89" t="b">
        <v>0</v>
      </c>
      <c r="H40" s="82" t="b">
        <v>0</v>
      </c>
      <c r="I40" s="82" t="b">
        <v>0</v>
      </c>
      <c r="J40" s="83"/>
      <c r="K40" s="90"/>
      <c r="L40" s="20"/>
    </row>
    <row r="41" spans="2:12" ht="16.350000000000001" customHeight="1" x14ac:dyDescent="0.3">
      <c r="B41" s="20"/>
      <c r="C41" s="198" t="s">
        <v>118</v>
      </c>
      <c r="D41" s="198"/>
      <c r="E41" s="198"/>
      <c r="F41" s="198"/>
      <c r="G41" s="87" t="s">
        <v>58</v>
      </c>
      <c r="H41" s="140" t="s">
        <v>59</v>
      </c>
      <c r="I41" s="140" t="s">
        <v>60</v>
      </c>
      <c r="J41" s="140"/>
      <c r="K41" s="88"/>
      <c r="L41" s="20"/>
    </row>
    <row r="42" spans="2:12" ht="14.7" customHeight="1" x14ac:dyDescent="0.3">
      <c r="B42" s="20"/>
      <c r="C42" s="198"/>
      <c r="D42" s="198"/>
      <c r="E42" s="198"/>
      <c r="F42" s="198"/>
      <c r="G42" s="89" t="b">
        <v>0</v>
      </c>
      <c r="H42" s="82" t="b">
        <v>0</v>
      </c>
      <c r="I42" s="82" t="b">
        <v>0</v>
      </c>
      <c r="J42" s="83"/>
      <c r="K42" s="90"/>
      <c r="L42" s="20"/>
    </row>
    <row r="43" spans="2:12" ht="50.7" customHeight="1" x14ac:dyDescent="0.4">
      <c r="B43" s="20"/>
      <c r="C43" s="198" t="s">
        <v>119</v>
      </c>
      <c r="D43" s="198"/>
      <c r="E43" s="198"/>
      <c r="F43" s="198"/>
      <c r="G43" s="92" t="s">
        <v>58</v>
      </c>
      <c r="H43" s="85" t="s">
        <v>59</v>
      </c>
      <c r="I43" s="85" t="s">
        <v>60</v>
      </c>
      <c r="J43" s="140"/>
      <c r="K43" s="88"/>
      <c r="L43" s="20"/>
    </row>
    <row r="44" spans="2:12" x14ac:dyDescent="0.3">
      <c r="B44" s="20"/>
      <c r="C44" s="198"/>
      <c r="D44" s="198"/>
      <c r="E44" s="198"/>
      <c r="F44" s="198"/>
      <c r="G44" s="93" t="b">
        <v>0</v>
      </c>
      <c r="H44" s="86" t="b">
        <v>0</v>
      </c>
      <c r="I44" s="86" t="b">
        <v>0</v>
      </c>
      <c r="J44" s="83"/>
      <c r="K44" s="90"/>
      <c r="L44" s="20"/>
    </row>
    <row r="45" spans="2:12" ht="16.2" x14ac:dyDescent="0.3">
      <c r="B45" s="20"/>
      <c r="C45" s="197" t="s">
        <v>120</v>
      </c>
      <c r="D45" s="197"/>
      <c r="E45" s="197"/>
      <c r="F45" s="197"/>
      <c r="G45" s="87" t="s">
        <v>58</v>
      </c>
      <c r="H45" s="140">
        <v>0</v>
      </c>
      <c r="I45" s="140">
        <v>1</v>
      </c>
      <c r="J45" s="140">
        <v>2</v>
      </c>
      <c r="K45" s="88">
        <v>3</v>
      </c>
      <c r="L45" s="20"/>
    </row>
    <row r="46" spans="2:12" ht="14.7" customHeight="1" x14ac:dyDescent="0.3">
      <c r="B46" s="20"/>
      <c r="C46" s="197"/>
      <c r="D46" s="197"/>
      <c r="E46" s="197"/>
      <c r="F46" s="197"/>
      <c r="G46" s="89" t="b">
        <v>0</v>
      </c>
      <c r="H46" s="82" t="b">
        <v>0</v>
      </c>
      <c r="I46" s="82" t="b">
        <v>0</v>
      </c>
      <c r="J46" s="82" t="b">
        <v>0</v>
      </c>
      <c r="K46" s="91" t="b">
        <v>0</v>
      </c>
      <c r="L46" s="20"/>
    </row>
    <row r="47" spans="2:12" ht="16.2" x14ac:dyDescent="0.3">
      <c r="B47" s="20"/>
      <c r="C47" s="197" t="s">
        <v>121</v>
      </c>
      <c r="D47" s="197"/>
      <c r="E47" s="197"/>
      <c r="F47" s="197"/>
      <c r="G47" s="87" t="s">
        <v>58</v>
      </c>
      <c r="H47" s="140">
        <v>0</v>
      </c>
      <c r="I47" s="140">
        <v>1</v>
      </c>
      <c r="J47" s="140">
        <v>2</v>
      </c>
      <c r="K47" s="88">
        <v>3</v>
      </c>
      <c r="L47" s="20"/>
    </row>
    <row r="48" spans="2:12" ht="14.7" customHeight="1" x14ac:dyDescent="0.3">
      <c r="B48" s="20"/>
      <c r="C48" s="197"/>
      <c r="D48" s="197"/>
      <c r="E48" s="197"/>
      <c r="F48" s="197"/>
      <c r="G48" s="89" t="b">
        <v>0</v>
      </c>
      <c r="H48" s="82" t="b">
        <v>0</v>
      </c>
      <c r="I48" s="82" t="b">
        <v>0</v>
      </c>
      <c r="J48" s="82" t="b">
        <v>0</v>
      </c>
      <c r="K48" s="91" t="b">
        <v>0</v>
      </c>
      <c r="L48" s="20"/>
    </row>
    <row r="49" spans="2:12" ht="16.350000000000001" customHeight="1" x14ac:dyDescent="0.3">
      <c r="B49" s="20"/>
      <c r="C49" s="198" t="s">
        <v>122</v>
      </c>
      <c r="D49" s="198"/>
      <c r="E49" s="198"/>
      <c r="F49" s="198"/>
      <c r="G49" s="87" t="s">
        <v>58</v>
      </c>
      <c r="H49" s="140" t="s">
        <v>59</v>
      </c>
      <c r="I49" s="140" t="s">
        <v>60</v>
      </c>
      <c r="J49" s="140"/>
      <c r="K49" s="88"/>
      <c r="L49" s="20"/>
    </row>
    <row r="50" spans="2:12" ht="14.7" customHeight="1" x14ac:dyDescent="0.3">
      <c r="B50" s="20"/>
      <c r="C50" s="198"/>
      <c r="D50" s="198"/>
      <c r="E50" s="198"/>
      <c r="F50" s="198"/>
      <c r="G50" s="89" t="b">
        <v>0</v>
      </c>
      <c r="H50" s="82" t="b">
        <v>0</v>
      </c>
      <c r="I50" s="82" t="b">
        <v>0</v>
      </c>
      <c r="J50" s="83"/>
      <c r="K50" s="90"/>
      <c r="L50" s="20"/>
    </row>
    <row r="51" spans="2:12" ht="32.1" customHeight="1" x14ac:dyDescent="0.4">
      <c r="B51" s="20"/>
      <c r="C51" s="198" t="s">
        <v>123</v>
      </c>
      <c r="D51" s="198"/>
      <c r="E51" s="198"/>
      <c r="F51" s="198"/>
      <c r="G51" s="92" t="s">
        <v>58</v>
      </c>
      <c r="H51" s="85" t="s">
        <v>59</v>
      </c>
      <c r="I51" s="85" t="s">
        <v>60</v>
      </c>
      <c r="J51" s="140"/>
      <c r="K51" s="88"/>
      <c r="L51" s="20"/>
    </row>
    <row r="52" spans="2:12" x14ac:dyDescent="0.3">
      <c r="B52" s="20"/>
      <c r="C52" s="198"/>
      <c r="D52" s="198"/>
      <c r="E52" s="198"/>
      <c r="F52" s="198"/>
      <c r="G52" s="89" t="b">
        <v>0</v>
      </c>
      <c r="H52" s="82" t="b">
        <v>0</v>
      </c>
      <c r="I52" s="82" t="b">
        <v>0</v>
      </c>
      <c r="J52" s="83"/>
      <c r="K52" s="90"/>
      <c r="L52" s="20"/>
    </row>
    <row r="53" spans="2:12" ht="16.350000000000001" customHeight="1" x14ac:dyDescent="0.3">
      <c r="B53" s="20"/>
      <c r="C53" s="198" t="s">
        <v>124</v>
      </c>
      <c r="D53" s="198"/>
      <c r="E53" s="198"/>
      <c r="F53" s="198"/>
      <c r="G53" s="87" t="s">
        <v>58</v>
      </c>
      <c r="H53" s="140" t="s">
        <v>59</v>
      </c>
      <c r="I53" s="140" t="s">
        <v>60</v>
      </c>
      <c r="J53" s="140"/>
      <c r="K53" s="88"/>
      <c r="L53" s="20"/>
    </row>
    <row r="54" spans="2:12" ht="14.7" customHeight="1" x14ac:dyDescent="0.3">
      <c r="B54" s="20"/>
      <c r="C54" s="198"/>
      <c r="D54" s="198"/>
      <c r="E54" s="198"/>
      <c r="F54" s="198"/>
      <c r="G54" s="93" t="b">
        <v>0</v>
      </c>
      <c r="H54" s="86" t="b">
        <v>0</v>
      </c>
      <c r="I54" s="86" t="b">
        <v>0</v>
      </c>
      <c r="J54" s="83"/>
      <c r="K54" s="90"/>
      <c r="L54" s="20"/>
    </row>
    <row r="55" spans="2:12" x14ac:dyDescent="0.3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2" x14ac:dyDescent="0.3">
      <c r="B56" s="29"/>
      <c r="C56" s="29"/>
      <c r="D56" s="29"/>
      <c r="E56" s="29"/>
      <c r="F56" s="31"/>
      <c r="G56" s="31"/>
      <c r="H56" s="31"/>
      <c r="I56" s="30"/>
      <c r="J56" s="30"/>
      <c r="K56" s="30"/>
      <c r="L56" s="30"/>
    </row>
    <row r="57" spans="2:12" x14ac:dyDescent="0.3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2:12" x14ac:dyDescent="0.3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2:12" x14ac:dyDescent="0.3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2" x14ac:dyDescent="0.3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</sheetData>
  <sheetProtection sheet="1" objects="1" scenarios="1"/>
  <mergeCells count="24">
    <mergeCell ref="C51:F52"/>
    <mergeCell ref="C53:F54"/>
    <mergeCell ref="C41:F42"/>
    <mergeCell ref="C43:F44"/>
    <mergeCell ref="C45:F46"/>
    <mergeCell ref="C47:F48"/>
    <mergeCell ref="C49:F50"/>
    <mergeCell ref="F3:K5"/>
    <mergeCell ref="C20:F21"/>
    <mergeCell ref="C22:F23"/>
    <mergeCell ref="C24:F25"/>
    <mergeCell ref="C26:F27"/>
    <mergeCell ref="C10:F11"/>
    <mergeCell ref="C12:F13"/>
    <mergeCell ref="C14:F15"/>
    <mergeCell ref="C16:F17"/>
    <mergeCell ref="C8:G8"/>
    <mergeCell ref="C33:F34"/>
    <mergeCell ref="C35:F36"/>
    <mergeCell ref="C37:F38"/>
    <mergeCell ref="C39:F40"/>
    <mergeCell ref="C18:F19"/>
    <mergeCell ref="C28:F29"/>
    <mergeCell ref="C31:F32"/>
  </mergeCells>
  <conditionalFormatting sqref="C12">
    <cfRule type="expression" dxfId="462" priority="20">
      <formula>AND($G$13:$I$13=FALSE)</formula>
    </cfRule>
  </conditionalFormatting>
  <conditionalFormatting sqref="C14">
    <cfRule type="expression" dxfId="461" priority="22">
      <formula>AND($G$15:$I$15=FALSE)</formula>
    </cfRule>
  </conditionalFormatting>
  <conditionalFormatting sqref="C16">
    <cfRule type="expression" dxfId="460" priority="19">
      <formula>AND($G$17:$I$17=FALSE)</formula>
    </cfRule>
  </conditionalFormatting>
  <conditionalFormatting sqref="C18">
    <cfRule type="expression" dxfId="459" priority="18">
      <formula>AND($G$19:$I$19=FALSE)</formula>
    </cfRule>
  </conditionalFormatting>
  <conditionalFormatting sqref="C22">
    <cfRule type="expression" dxfId="458" priority="15">
      <formula>AND($G$23:$I$23=FALSE)</formula>
    </cfRule>
  </conditionalFormatting>
  <conditionalFormatting sqref="C24">
    <cfRule type="expression" dxfId="457" priority="17">
      <formula>AND($G$25:$I$25=FALSE)</formula>
    </cfRule>
  </conditionalFormatting>
  <conditionalFormatting sqref="C26">
    <cfRule type="expression" dxfId="456" priority="14">
      <formula>AND($G$27:$K$27=FALSE)</formula>
    </cfRule>
  </conditionalFormatting>
  <conditionalFormatting sqref="C28">
    <cfRule type="expression" dxfId="455" priority="13">
      <formula>AND($G$29:$K$29=FALSE)</formula>
    </cfRule>
  </conditionalFormatting>
  <conditionalFormatting sqref="C33">
    <cfRule type="expression" dxfId="454" priority="11">
      <formula>AND($G$34:$K$34=FALSE)</formula>
    </cfRule>
  </conditionalFormatting>
  <conditionalFormatting sqref="C35">
    <cfRule type="expression" dxfId="453" priority="10">
      <formula>AND($G$36:$K$36=FALSE)</formula>
    </cfRule>
  </conditionalFormatting>
  <conditionalFormatting sqref="C37">
    <cfRule type="expression" dxfId="452" priority="9">
      <formula>AND($G$38:$I$38=FALSE)</formula>
    </cfRule>
  </conditionalFormatting>
  <conditionalFormatting sqref="C43">
    <cfRule type="expression" dxfId="451" priority="6">
      <formula>AND($G$44:$I$44=FALSE)</formula>
    </cfRule>
  </conditionalFormatting>
  <conditionalFormatting sqref="C45">
    <cfRule type="expression" dxfId="450" priority="5">
      <formula>AND($G$46:$K$46=FALSE)</formula>
    </cfRule>
  </conditionalFormatting>
  <conditionalFormatting sqref="C47">
    <cfRule type="expression" dxfId="449" priority="4">
      <formula>AND($G$48:$K$48=FALSE)</formula>
    </cfRule>
  </conditionalFormatting>
  <conditionalFormatting sqref="C49">
    <cfRule type="expression" dxfId="448" priority="2">
      <formula>AND($G$50:$K$50=FALSE)</formula>
    </cfRule>
  </conditionalFormatting>
  <conditionalFormatting sqref="C51">
    <cfRule type="expression" dxfId="447" priority="8">
      <formula>AND($G$52:$K$52=FALSE)</formula>
    </cfRule>
  </conditionalFormatting>
  <conditionalFormatting sqref="C53">
    <cfRule type="expression" dxfId="446" priority="3">
      <formula>AND($G$54:$K$54=FALSE)</formula>
    </cfRule>
  </conditionalFormatting>
  <conditionalFormatting sqref="C10:F11">
    <cfRule type="expression" dxfId="445" priority="21">
      <formula>AND($G$11:$I$11=FALSE)</formula>
    </cfRule>
  </conditionalFormatting>
  <conditionalFormatting sqref="C20:F21">
    <cfRule type="expression" dxfId="444" priority="16">
      <formula>AND($G$21:$I$21=FALSE)</formula>
    </cfRule>
  </conditionalFormatting>
  <conditionalFormatting sqref="C31:F32">
    <cfRule type="expression" dxfId="443" priority="12">
      <formula>AND($G$32:$I$32=FALSE)</formula>
    </cfRule>
  </conditionalFormatting>
  <conditionalFormatting sqref="C39:F40">
    <cfRule type="expression" dxfId="442" priority="1">
      <formula>AND($G$40:$K$40)=FALSE</formula>
    </cfRule>
  </conditionalFormatting>
  <conditionalFormatting sqref="C41:F42">
    <cfRule type="expression" dxfId="441" priority="7">
      <formula>AND($G$42:$I$42=FALSE)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0049-D207-41A1-B221-3EFECC35F9D3}">
  <sheetPr codeName="Feuil7"/>
  <dimension ref="B2:M49"/>
  <sheetViews>
    <sheetView showGridLines="0" tabSelected="1" showWhiteSpace="0" view="pageBreakPreview" topLeftCell="A4" zoomScale="70" zoomScaleNormal="115" zoomScaleSheetLayoutView="70" workbookViewId="0">
      <selection activeCell="E32" sqref="E32:F32"/>
    </sheetView>
  </sheetViews>
  <sheetFormatPr baseColWidth="10" defaultColWidth="11.6640625" defaultRowHeight="14.4" x14ac:dyDescent="0.3"/>
  <cols>
    <col min="1" max="2" width="3.77734375" style="19" customWidth="1"/>
    <col min="3" max="3" width="11.6640625" style="19" customWidth="1"/>
    <col min="4" max="4" width="11.6640625" style="19"/>
    <col min="5" max="5" width="11.33203125" style="19" customWidth="1"/>
    <col min="6" max="6" width="11.6640625" style="19"/>
    <col min="7" max="7" width="11.6640625" style="19" customWidth="1"/>
    <col min="8" max="11" width="11.6640625" style="19"/>
    <col min="12" max="13" width="3.77734375" style="19" customWidth="1"/>
    <col min="14" max="16384" width="11.6640625" style="19"/>
  </cols>
  <sheetData>
    <row r="2" spans="2:13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3" ht="18" x14ac:dyDescent="0.3">
      <c r="B3" s="20"/>
      <c r="C3" s="22"/>
      <c r="D3" s="22"/>
      <c r="E3" s="22"/>
      <c r="F3" s="158" t="s">
        <v>829</v>
      </c>
      <c r="G3" s="158"/>
      <c r="H3" s="158"/>
      <c r="I3" s="158"/>
      <c r="J3" s="158"/>
      <c r="K3" s="158"/>
      <c r="L3" s="20"/>
      <c r="M3" s="23"/>
    </row>
    <row r="4" spans="2:13" ht="18" customHeight="1" x14ac:dyDescent="0.3">
      <c r="B4" s="20"/>
      <c r="C4" s="20"/>
      <c r="D4" s="20"/>
      <c r="E4" s="20"/>
      <c r="F4" s="158"/>
      <c r="G4" s="158"/>
      <c r="H4" s="158"/>
      <c r="I4" s="158"/>
      <c r="J4" s="158"/>
      <c r="K4" s="158"/>
      <c r="L4" s="20"/>
    </row>
    <row r="5" spans="2:13" ht="14.7" customHeight="1" x14ac:dyDescent="0.3">
      <c r="B5" s="20"/>
      <c r="C5" s="20"/>
      <c r="D5" s="20"/>
      <c r="E5" s="20"/>
      <c r="F5" s="158"/>
      <c r="G5" s="158"/>
      <c r="H5" s="158"/>
      <c r="I5" s="158"/>
      <c r="J5" s="158"/>
      <c r="K5" s="158"/>
      <c r="L5" s="20"/>
    </row>
    <row r="6" spans="2:13" ht="18" x14ac:dyDescent="0.4">
      <c r="B6" s="20"/>
      <c r="C6" s="21"/>
      <c r="D6" s="21"/>
      <c r="E6" s="28"/>
      <c r="F6" s="20"/>
      <c r="G6" s="20"/>
      <c r="H6" s="20"/>
      <c r="I6" s="20"/>
      <c r="J6" s="20"/>
      <c r="K6" s="21"/>
      <c r="L6" s="20"/>
      <c r="M6" s="24"/>
    </row>
    <row r="7" spans="2:13" ht="15" customHeight="1" x14ac:dyDescent="0.4">
      <c r="B7" s="29"/>
      <c r="C7" s="29"/>
      <c r="D7" s="29"/>
      <c r="E7" s="29"/>
      <c r="F7" s="31"/>
      <c r="G7" s="31"/>
      <c r="H7" s="31"/>
      <c r="I7" s="30"/>
      <c r="J7" s="30"/>
      <c r="K7" s="30"/>
      <c r="L7" s="30"/>
      <c r="M7" s="24"/>
    </row>
    <row r="8" spans="2:13" ht="18" x14ac:dyDescent="0.4">
      <c r="B8" s="20"/>
      <c r="C8" s="203" t="s">
        <v>125</v>
      </c>
      <c r="D8" s="203"/>
      <c r="E8" s="203"/>
      <c r="F8" s="203"/>
      <c r="G8" s="203"/>
      <c r="H8" s="20"/>
      <c r="I8" s="20"/>
      <c r="J8" s="20"/>
      <c r="K8" s="20"/>
      <c r="L8" s="20"/>
    </row>
    <row r="9" spans="2:13" ht="18" x14ac:dyDescent="0.4">
      <c r="B9" s="20"/>
      <c r="C9" s="22" t="s">
        <v>126</v>
      </c>
      <c r="D9" s="22"/>
      <c r="E9" s="22"/>
      <c r="F9" s="20"/>
      <c r="G9" s="20"/>
      <c r="H9" s="20"/>
      <c r="I9" s="20"/>
      <c r="J9" s="21"/>
      <c r="K9" s="21"/>
      <c r="L9" s="20"/>
    </row>
    <row r="10" spans="2:13" ht="31.35" customHeight="1" x14ac:dyDescent="0.3">
      <c r="B10" s="20"/>
      <c r="C10" s="198" t="s">
        <v>127</v>
      </c>
      <c r="D10" s="198"/>
      <c r="E10" s="198"/>
      <c r="F10" s="198"/>
      <c r="G10" s="87" t="s">
        <v>58</v>
      </c>
      <c r="H10" s="140" t="s">
        <v>59</v>
      </c>
      <c r="I10" s="140" t="s">
        <v>60</v>
      </c>
      <c r="J10" s="140"/>
      <c r="K10" s="88"/>
      <c r="L10" s="20"/>
    </row>
    <row r="11" spans="2:13" ht="14.7" customHeight="1" x14ac:dyDescent="0.3">
      <c r="B11" s="20"/>
      <c r="C11" s="198"/>
      <c r="D11" s="198"/>
      <c r="E11" s="198"/>
      <c r="F11" s="198"/>
      <c r="G11" s="89" t="b">
        <v>0</v>
      </c>
      <c r="H11" s="82" t="b">
        <v>0</v>
      </c>
      <c r="I11" s="82" t="b">
        <v>0</v>
      </c>
      <c r="J11" s="83"/>
      <c r="K11" s="90"/>
      <c r="L11" s="20"/>
    </row>
    <row r="12" spans="2:13" ht="16.350000000000001" customHeight="1" x14ac:dyDescent="0.3">
      <c r="B12" s="20"/>
      <c r="C12" s="198" t="s">
        <v>128</v>
      </c>
      <c r="D12" s="198"/>
      <c r="E12" s="198"/>
      <c r="F12" s="198"/>
      <c r="G12" s="87" t="s">
        <v>58</v>
      </c>
      <c r="H12" s="140" t="s">
        <v>59</v>
      </c>
      <c r="I12" s="140" t="s">
        <v>60</v>
      </c>
      <c r="J12" s="140"/>
      <c r="K12" s="88"/>
      <c r="L12" s="20"/>
    </row>
    <row r="13" spans="2:13" ht="14.7" customHeight="1" x14ac:dyDescent="0.3">
      <c r="B13" s="20"/>
      <c r="C13" s="198"/>
      <c r="D13" s="198"/>
      <c r="E13" s="198"/>
      <c r="F13" s="198"/>
      <c r="G13" s="89" t="b">
        <v>0</v>
      </c>
      <c r="H13" s="82" t="b">
        <v>0</v>
      </c>
      <c r="I13" s="82" t="b">
        <v>0</v>
      </c>
      <c r="J13" s="83"/>
      <c r="K13" s="90"/>
      <c r="L13" s="20"/>
    </row>
    <row r="14" spans="2:13" ht="16.350000000000001" customHeight="1" x14ac:dyDescent="0.3">
      <c r="B14" s="20"/>
      <c r="C14" s="198" t="s">
        <v>129</v>
      </c>
      <c r="D14" s="198"/>
      <c r="E14" s="198"/>
      <c r="F14" s="198"/>
      <c r="G14" s="87" t="s">
        <v>58</v>
      </c>
      <c r="H14" s="140" t="s">
        <v>59</v>
      </c>
      <c r="I14" s="140" t="s">
        <v>60</v>
      </c>
      <c r="J14" s="140"/>
      <c r="K14" s="88"/>
      <c r="L14" s="20"/>
    </row>
    <row r="15" spans="2:13" ht="14.7" customHeight="1" x14ac:dyDescent="0.3">
      <c r="B15" s="20"/>
      <c r="C15" s="198"/>
      <c r="D15" s="198"/>
      <c r="E15" s="198"/>
      <c r="F15" s="198"/>
      <c r="G15" s="89" t="b">
        <v>0</v>
      </c>
      <c r="H15" s="82" t="b">
        <v>0</v>
      </c>
      <c r="I15" s="82" t="b">
        <v>0</v>
      </c>
      <c r="J15" s="83"/>
      <c r="K15" s="90"/>
      <c r="L15" s="20"/>
    </row>
    <row r="16" spans="2:13" ht="32.4" x14ac:dyDescent="0.3">
      <c r="B16" s="20"/>
      <c r="C16" s="198" t="s">
        <v>130</v>
      </c>
      <c r="D16" s="198"/>
      <c r="E16" s="198"/>
      <c r="F16" s="198"/>
      <c r="G16" s="87" t="s">
        <v>58</v>
      </c>
      <c r="H16" s="84" t="s">
        <v>131</v>
      </c>
      <c r="I16" s="84" t="s">
        <v>132</v>
      </c>
      <c r="J16" s="84" t="s">
        <v>133</v>
      </c>
      <c r="K16" s="98" t="s">
        <v>134</v>
      </c>
      <c r="L16" s="20"/>
    </row>
    <row r="17" spans="2:12" ht="14.7" customHeight="1" x14ac:dyDescent="0.3">
      <c r="B17" s="20"/>
      <c r="C17" s="198"/>
      <c r="D17" s="198"/>
      <c r="E17" s="198"/>
      <c r="F17" s="198"/>
      <c r="G17" s="89" t="b">
        <v>0</v>
      </c>
      <c r="H17" s="82" t="b">
        <v>0</v>
      </c>
      <c r="I17" s="82" t="b">
        <v>0</v>
      </c>
      <c r="J17" s="96" t="b">
        <v>0</v>
      </c>
      <c r="K17" s="97" t="b">
        <v>0</v>
      </c>
      <c r="L17" s="20"/>
    </row>
    <row r="18" spans="2:12" ht="32.1" customHeight="1" x14ac:dyDescent="0.3">
      <c r="B18" s="20"/>
      <c r="C18" s="198" t="s">
        <v>135</v>
      </c>
      <c r="D18" s="198"/>
      <c r="E18" s="198"/>
      <c r="F18" s="198"/>
      <c r="G18" s="87" t="s">
        <v>58</v>
      </c>
      <c r="H18" s="140" t="s">
        <v>59</v>
      </c>
      <c r="I18" s="140" t="s">
        <v>60</v>
      </c>
      <c r="J18" s="140"/>
      <c r="K18" s="88"/>
      <c r="L18" s="20"/>
    </row>
    <row r="19" spans="2:12" ht="14.7" customHeight="1" x14ac:dyDescent="0.3">
      <c r="B19" s="20"/>
      <c r="C19" s="198"/>
      <c r="D19" s="198"/>
      <c r="E19" s="198"/>
      <c r="F19" s="198"/>
      <c r="G19" s="89" t="b">
        <v>0</v>
      </c>
      <c r="H19" s="82" t="b">
        <v>0</v>
      </c>
      <c r="I19" s="82" t="b">
        <v>0</v>
      </c>
      <c r="J19" s="83"/>
      <c r="K19" s="90"/>
      <c r="L19" s="20"/>
    </row>
    <row r="20" spans="2:12" ht="16.350000000000001" customHeight="1" x14ac:dyDescent="0.3">
      <c r="B20" s="20"/>
      <c r="C20" s="198" t="s">
        <v>136</v>
      </c>
      <c r="D20" s="198"/>
      <c r="E20" s="198"/>
      <c r="F20" s="198"/>
      <c r="G20" s="87" t="s">
        <v>58</v>
      </c>
      <c r="H20" s="140" t="s">
        <v>59</v>
      </c>
      <c r="I20" s="140" t="s">
        <v>60</v>
      </c>
      <c r="J20" s="140"/>
      <c r="K20" s="88"/>
      <c r="L20" s="20"/>
    </row>
    <row r="21" spans="2:12" ht="14.7" customHeight="1" x14ac:dyDescent="0.3">
      <c r="B21" s="20"/>
      <c r="C21" s="198"/>
      <c r="D21" s="198"/>
      <c r="E21" s="198"/>
      <c r="F21" s="198"/>
      <c r="G21" s="89" t="b">
        <v>0</v>
      </c>
      <c r="H21" s="82" t="b">
        <v>0</v>
      </c>
      <c r="I21" s="82" t="b">
        <v>0</v>
      </c>
      <c r="J21" s="83"/>
      <c r="K21" s="90"/>
      <c r="L21" s="20"/>
    </row>
    <row r="22" spans="2:12" ht="16.350000000000001" customHeight="1" x14ac:dyDescent="0.3">
      <c r="B22" s="20"/>
      <c r="C22" s="198" t="s">
        <v>137</v>
      </c>
      <c r="D22" s="198"/>
      <c r="E22" s="198"/>
      <c r="F22" s="198"/>
      <c r="G22" s="87" t="s">
        <v>58</v>
      </c>
      <c r="H22" s="140" t="s">
        <v>59</v>
      </c>
      <c r="I22" s="140" t="s">
        <v>60</v>
      </c>
      <c r="J22" s="140"/>
      <c r="K22" s="88"/>
      <c r="L22" s="20"/>
    </row>
    <row r="23" spans="2:12" ht="14.7" customHeight="1" x14ac:dyDescent="0.3">
      <c r="B23" s="20"/>
      <c r="C23" s="198"/>
      <c r="D23" s="198"/>
      <c r="E23" s="198"/>
      <c r="F23" s="198"/>
      <c r="G23" s="89" t="b">
        <v>0</v>
      </c>
      <c r="H23" s="82" t="b">
        <v>0</v>
      </c>
      <c r="I23" s="82" t="b">
        <v>0</v>
      </c>
      <c r="J23" s="83"/>
      <c r="K23" s="90"/>
      <c r="L23" s="20"/>
    </row>
    <row r="24" spans="2:12" ht="16.2" x14ac:dyDescent="0.3">
      <c r="B24" s="20"/>
      <c r="C24" s="198" t="s">
        <v>138</v>
      </c>
      <c r="D24" s="198"/>
      <c r="E24" s="198"/>
      <c r="F24" s="198"/>
      <c r="G24" s="87" t="s">
        <v>58</v>
      </c>
      <c r="H24" s="140" t="s">
        <v>59</v>
      </c>
      <c r="I24" s="140" t="s">
        <v>60</v>
      </c>
      <c r="J24" s="140"/>
      <c r="K24" s="88"/>
      <c r="L24" s="20"/>
    </row>
    <row r="25" spans="2:12" ht="14.7" customHeight="1" x14ac:dyDescent="0.3">
      <c r="B25" s="20"/>
      <c r="C25" s="198"/>
      <c r="D25" s="198"/>
      <c r="E25" s="198"/>
      <c r="F25" s="198"/>
      <c r="G25" s="89" t="b">
        <v>0</v>
      </c>
      <c r="H25" s="82" t="b">
        <v>0</v>
      </c>
      <c r="I25" s="82" t="b">
        <v>0</v>
      </c>
      <c r="J25" s="83"/>
      <c r="K25" s="90"/>
      <c r="L25" s="20"/>
    </row>
    <row r="26" spans="2:12" ht="16.2" x14ac:dyDescent="0.3">
      <c r="B26" s="20"/>
      <c r="C26" s="197" t="s">
        <v>139</v>
      </c>
      <c r="D26" s="197"/>
      <c r="E26" s="197"/>
      <c r="F26" s="197"/>
      <c r="G26" s="87" t="s">
        <v>58</v>
      </c>
      <c r="H26" s="140" t="s">
        <v>59</v>
      </c>
      <c r="I26" s="140" t="s">
        <v>60</v>
      </c>
      <c r="J26" s="140"/>
      <c r="K26" s="88"/>
      <c r="L26" s="20"/>
    </row>
    <row r="27" spans="2:12" ht="14.7" customHeight="1" x14ac:dyDescent="0.3">
      <c r="B27" s="20"/>
      <c r="C27" s="197"/>
      <c r="D27" s="197"/>
      <c r="E27" s="197"/>
      <c r="F27" s="197"/>
      <c r="G27" s="89" t="b">
        <v>0</v>
      </c>
      <c r="H27" s="82" t="b">
        <v>0</v>
      </c>
      <c r="I27" s="82" t="b">
        <v>0</v>
      </c>
      <c r="J27" s="83"/>
      <c r="K27" s="90"/>
      <c r="L27" s="20"/>
    </row>
    <row r="28" spans="2:12" ht="16.2" x14ac:dyDescent="0.3">
      <c r="B28" s="20"/>
      <c r="C28" s="198" t="s">
        <v>140</v>
      </c>
      <c r="D28" s="198"/>
      <c r="E28" s="198"/>
      <c r="F28" s="198"/>
      <c r="G28" s="87" t="s">
        <v>58</v>
      </c>
      <c r="H28" s="140" t="s">
        <v>59</v>
      </c>
      <c r="I28" s="140" t="s">
        <v>60</v>
      </c>
      <c r="J28" s="140"/>
      <c r="K28" s="88"/>
      <c r="L28" s="20"/>
    </row>
    <row r="29" spans="2:12" ht="14.7" customHeight="1" x14ac:dyDescent="0.3">
      <c r="B29" s="20"/>
      <c r="C29" s="198"/>
      <c r="D29" s="198"/>
      <c r="E29" s="198"/>
      <c r="F29" s="198"/>
      <c r="G29" s="89" t="b">
        <v>0</v>
      </c>
      <c r="H29" s="82" t="b">
        <v>0</v>
      </c>
      <c r="I29" s="82" t="b">
        <v>0</v>
      </c>
      <c r="J29" s="83"/>
      <c r="K29" s="90"/>
      <c r="L29" s="20"/>
    </row>
    <row r="30" spans="2:12" ht="16.350000000000001" customHeight="1" x14ac:dyDescent="0.3">
      <c r="B30" s="20"/>
      <c r="C30" s="198" t="s">
        <v>141</v>
      </c>
      <c r="D30" s="198"/>
      <c r="E30" s="198"/>
      <c r="F30" s="198"/>
      <c r="G30" s="87" t="s">
        <v>58</v>
      </c>
      <c r="H30" s="140" t="s">
        <v>59</v>
      </c>
      <c r="I30" s="140" t="s">
        <v>60</v>
      </c>
      <c r="J30" s="140"/>
      <c r="K30" s="88"/>
      <c r="L30" s="20"/>
    </row>
    <row r="31" spans="2:12" ht="14.7" customHeight="1" x14ac:dyDescent="0.3">
      <c r="B31" s="20"/>
      <c r="C31" s="198"/>
      <c r="D31" s="198"/>
      <c r="E31" s="198"/>
      <c r="F31" s="198"/>
      <c r="G31" s="89" t="b">
        <v>0</v>
      </c>
      <c r="H31" s="82" t="b">
        <v>0</v>
      </c>
      <c r="I31" s="82" t="b">
        <v>0</v>
      </c>
      <c r="J31" s="83"/>
      <c r="K31" s="90"/>
      <c r="L31" s="20"/>
    </row>
    <row r="32" spans="2:12" ht="16.350000000000001" customHeight="1" x14ac:dyDescent="0.3">
      <c r="B32" s="20"/>
      <c r="C32" s="198" t="s">
        <v>142</v>
      </c>
      <c r="D32" s="198"/>
      <c r="E32" s="198"/>
      <c r="F32" s="198"/>
      <c r="G32" s="87" t="s">
        <v>58</v>
      </c>
      <c r="H32" s="140" t="s">
        <v>59</v>
      </c>
      <c r="I32" s="140" t="s">
        <v>60</v>
      </c>
      <c r="J32" s="140"/>
      <c r="K32" s="88"/>
      <c r="L32" s="20"/>
    </row>
    <row r="33" spans="2:12" ht="14.7" customHeight="1" x14ac:dyDescent="0.3">
      <c r="B33" s="20"/>
      <c r="C33" s="198"/>
      <c r="D33" s="198"/>
      <c r="E33" s="198"/>
      <c r="F33" s="198"/>
      <c r="G33" s="89" t="b">
        <v>0</v>
      </c>
      <c r="H33" s="82" t="b">
        <v>0</v>
      </c>
      <c r="I33" s="82" t="b">
        <v>0</v>
      </c>
      <c r="J33" s="83"/>
      <c r="K33" s="90"/>
      <c r="L33" s="20"/>
    </row>
    <row r="34" spans="2:12" ht="16.2" x14ac:dyDescent="0.3">
      <c r="B34" s="20"/>
      <c r="C34" s="198" t="s">
        <v>143</v>
      </c>
      <c r="D34" s="198"/>
      <c r="E34" s="198"/>
      <c r="F34" s="198"/>
      <c r="G34" s="87" t="s">
        <v>58</v>
      </c>
      <c r="H34" s="140" t="s">
        <v>59</v>
      </c>
      <c r="I34" s="140" t="s">
        <v>60</v>
      </c>
      <c r="J34" s="140"/>
      <c r="K34" s="88"/>
      <c r="L34" s="20"/>
    </row>
    <row r="35" spans="2:12" ht="14.7" customHeight="1" x14ac:dyDescent="0.3">
      <c r="B35" s="20"/>
      <c r="C35" s="198"/>
      <c r="D35" s="198"/>
      <c r="E35" s="198"/>
      <c r="F35" s="198"/>
      <c r="G35" s="89" t="b">
        <v>0</v>
      </c>
      <c r="H35" s="82" t="b">
        <v>0</v>
      </c>
      <c r="I35" s="82" t="b">
        <v>0</v>
      </c>
      <c r="J35" s="83"/>
      <c r="K35" s="90"/>
      <c r="L35" s="20"/>
    </row>
    <row r="36" spans="2:12" ht="16.2" x14ac:dyDescent="0.3">
      <c r="B36" s="20"/>
      <c r="C36" s="197" t="s">
        <v>144</v>
      </c>
      <c r="D36" s="197"/>
      <c r="E36" s="197"/>
      <c r="F36" s="197"/>
      <c r="G36" s="87" t="s">
        <v>58</v>
      </c>
      <c r="H36" s="140">
        <v>0</v>
      </c>
      <c r="I36" s="140">
        <v>1</v>
      </c>
      <c r="J36" s="140">
        <v>2</v>
      </c>
      <c r="K36" s="88">
        <v>3</v>
      </c>
      <c r="L36" s="20"/>
    </row>
    <row r="37" spans="2:12" ht="14.7" customHeight="1" x14ac:dyDescent="0.3">
      <c r="B37" s="20"/>
      <c r="C37" s="197"/>
      <c r="D37" s="197"/>
      <c r="E37" s="197"/>
      <c r="F37" s="197"/>
      <c r="G37" s="89" t="b">
        <v>0</v>
      </c>
      <c r="H37" s="82" t="b">
        <v>0</v>
      </c>
      <c r="I37" s="82" t="b">
        <v>0</v>
      </c>
      <c r="J37" s="82" t="b">
        <v>0</v>
      </c>
      <c r="K37" s="91" t="b">
        <v>0</v>
      </c>
      <c r="L37" s="20"/>
    </row>
    <row r="38" spans="2:12" ht="16.350000000000001" customHeight="1" x14ac:dyDescent="0.3">
      <c r="B38" s="20"/>
      <c r="C38" s="198" t="s">
        <v>145</v>
      </c>
      <c r="D38" s="198"/>
      <c r="E38" s="198"/>
      <c r="F38" s="198"/>
      <c r="G38" s="87" t="s">
        <v>58</v>
      </c>
      <c r="H38" s="140">
        <v>0</v>
      </c>
      <c r="I38" s="140">
        <v>1</v>
      </c>
      <c r="J38" s="140">
        <v>2</v>
      </c>
      <c r="K38" s="88">
        <v>3</v>
      </c>
      <c r="L38" s="20"/>
    </row>
    <row r="39" spans="2:12" ht="14.7" customHeight="1" x14ac:dyDescent="0.3">
      <c r="B39" s="20"/>
      <c r="C39" s="198"/>
      <c r="D39" s="198"/>
      <c r="E39" s="198"/>
      <c r="F39" s="198"/>
      <c r="G39" s="89" t="b">
        <v>0</v>
      </c>
      <c r="H39" s="82" t="b">
        <v>0</v>
      </c>
      <c r="I39" s="82" t="b">
        <v>0</v>
      </c>
      <c r="J39" s="82" t="b">
        <v>0</v>
      </c>
      <c r="K39" s="91" t="b">
        <v>0</v>
      </c>
      <c r="L39" s="20"/>
    </row>
    <row r="40" spans="2:12" ht="16.350000000000001" customHeight="1" x14ac:dyDescent="0.3">
      <c r="B40" s="20"/>
      <c r="C40" s="198" t="s">
        <v>146</v>
      </c>
      <c r="D40" s="198"/>
      <c r="E40" s="198"/>
      <c r="F40" s="198"/>
      <c r="G40" s="87" t="s">
        <v>58</v>
      </c>
      <c r="H40" s="140" t="s">
        <v>59</v>
      </c>
      <c r="I40" s="140" t="s">
        <v>60</v>
      </c>
      <c r="J40" s="140"/>
      <c r="K40" s="88"/>
      <c r="L40" s="20"/>
    </row>
    <row r="41" spans="2:12" ht="14.7" customHeight="1" x14ac:dyDescent="0.3">
      <c r="B41" s="20"/>
      <c r="C41" s="198"/>
      <c r="D41" s="198"/>
      <c r="E41" s="198"/>
      <c r="F41" s="198"/>
      <c r="G41" s="89" t="b">
        <v>0</v>
      </c>
      <c r="H41" s="82" t="b">
        <v>0</v>
      </c>
      <c r="I41" s="82" t="b">
        <v>0</v>
      </c>
      <c r="J41" s="83"/>
      <c r="K41" s="90"/>
      <c r="L41" s="20"/>
    </row>
    <row r="42" spans="2:12" ht="16.2" x14ac:dyDescent="0.4">
      <c r="B42" s="20"/>
      <c r="C42" s="198" t="s">
        <v>147</v>
      </c>
      <c r="D42" s="198"/>
      <c r="E42" s="198"/>
      <c r="F42" s="198"/>
      <c r="G42" s="92" t="s">
        <v>58</v>
      </c>
      <c r="H42" s="85" t="s">
        <v>59</v>
      </c>
      <c r="I42" s="85" t="s">
        <v>60</v>
      </c>
      <c r="J42" s="140"/>
      <c r="K42" s="88"/>
      <c r="L42" s="20"/>
    </row>
    <row r="43" spans="2:12" x14ac:dyDescent="0.3">
      <c r="B43" s="20"/>
      <c r="C43" s="198"/>
      <c r="D43" s="198"/>
      <c r="E43" s="198"/>
      <c r="F43" s="198"/>
      <c r="G43" s="93" t="b">
        <v>0</v>
      </c>
      <c r="H43" s="86" t="b">
        <v>0</v>
      </c>
      <c r="I43" s="86" t="b">
        <v>0</v>
      </c>
      <c r="J43" s="83"/>
      <c r="K43" s="90"/>
      <c r="L43" s="20"/>
    </row>
    <row r="44" spans="2:12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2:12" x14ac:dyDescent="0.3">
      <c r="B45" s="29"/>
      <c r="C45" s="29"/>
      <c r="D45" s="29"/>
      <c r="E45" s="29"/>
      <c r="F45" s="31"/>
      <c r="G45" s="31"/>
      <c r="H45" s="31"/>
      <c r="I45" s="30"/>
      <c r="J45" s="30"/>
      <c r="K45" s="30"/>
      <c r="L45" s="30"/>
    </row>
    <row r="46" spans="2:12" x14ac:dyDescent="0.3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2:12" x14ac:dyDescent="0.3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 x14ac:dyDescent="0.3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 x14ac:dyDescent="0.3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</sheetData>
  <sheetProtection sheet="1" objects="1" scenarios="1"/>
  <mergeCells count="19">
    <mergeCell ref="C42:F43"/>
    <mergeCell ref="C30:F31"/>
    <mergeCell ref="C32:F33"/>
    <mergeCell ref="C34:F35"/>
    <mergeCell ref="C36:F37"/>
    <mergeCell ref="C38:F39"/>
    <mergeCell ref="C40:F41"/>
    <mergeCell ref="C28:F29"/>
    <mergeCell ref="F3:K5"/>
    <mergeCell ref="C8:G8"/>
    <mergeCell ref="C10:F11"/>
    <mergeCell ref="C12:F13"/>
    <mergeCell ref="C14:F15"/>
    <mergeCell ref="C16:F17"/>
    <mergeCell ref="C18:F19"/>
    <mergeCell ref="C20:F21"/>
    <mergeCell ref="C22:F23"/>
    <mergeCell ref="C24:F25"/>
    <mergeCell ref="C26:F27"/>
  </mergeCells>
  <conditionalFormatting sqref="C12">
    <cfRule type="expression" dxfId="440" priority="2">
      <formula>AND($G$13:$I$13=FALSE)</formula>
    </cfRule>
  </conditionalFormatting>
  <conditionalFormatting sqref="C14">
    <cfRule type="expression" dxfId="439" priority="4">
      <formula>AND($G$15:$I$15=FALSE)</formula>
    </cfRule>
  </conditionalFormatting>
  <conditionalFormatting sqref="C16">
    <cfRule type="expression" dxfId="438" priority="1">
      <formula>AND($G$17:$K$17=FALSE)</formula>
    </cfRule>
  </conditionalFormatting>
  <conditionalFormatting sqref="C18">
    <cfRule type="expression" dxfId="437" priority="19">
      <formula>AND($G$19:$I$19=FALSE)</formula>
    </cfRule>
  </conditionalFormatting>
  <conditionalFormatting sqref="C22">
    <cfRule type="expression" dxfId="436" priority="16">
      <formula>AND($G$23:$I$23=FALSE)</formula>
    </cfRule>
  </conditionalFormatting>
  <conditionalFormatting sqref="C24">
    <cfRule type="expression" dxfId="435" priority="18">
      <formula>AND($G$25:$I$25=FALSE)</formula>
    </cfRule>
  </conditionalFormatting>
  <conditionalFormatting sqref="C26">
    <cfRule type="expression" dxfId="434" priority="15">
      <formula>AND($G$27:$K$27=FALSE)</formula>
    </cfRule>
  </conditionalFormatting>
  <conditionalFormatting sqref="C28">
    <cfRule type="expression" dxfId="433" priority="14">
      <formula>AND($G$29:$K$29=FALSE)</formula>
    </cfRule>
  </conditionalFormatting>
  <conditionalFormatting sqref="C32">
    <cfRule type="expression" dxfId="432" priority="12">
      <formula>AND($G$33:$K$33=FALSE)</formula>
    </cfRule>
  </conditionalFormatting>
  <conditionalFormatting sqref="C34">
    <cfRule type="expression" dxfId="431" priority="11">
      <formula>AND($G$35:$K$35=FALSE)</formula>
    </cfRule>
  </conditionalFormatting>
  <conditionalFormatting sqref="C36">
    <cfRule type="expression" dxfId="430" priority="10">
      <formula>AND($G$37:$K$37=FALSE)</formula>
    </cfRule>
  </conditionalFormatting>
  <conditionalFormatting sqref="C42">
    <cfRule type="expression" dxfId="429" priority="7">
      <formula>AND($G$43:$I$43=FALSE)</formula>
    </cfRule>
  </conditionalFormatting>
  <conditionalFormatting sqref="C10:F11">
    <cfRule type="expression" dxfId="428" priority="3">
      <formula>AND($G$11:$I$11=FALSE)</formula>
    </cfRule>
  </conditionalFormatting>
  <conditionalFormatting sqref="C20:F21">
    <cfRule type="expression" dxfId="427" priority="17">
      <formula>AND($G$21:$I$21=FALSE)</formula>
    </cfRule>
  </conditionalFormatting>
  <conditionalFormatting sqref="C30:F31">
    <cfRule type="expression" dxfId="426" priority="13">
      <formula>AND($G$31:$I$31=FALSE)</formula>
    </cfRule>
  </conditionalFormatting>
  <conditionalFormatting sqref="C38:F39">
    <cfRule type="expression" dxfId="425" priority="45">
      <formula>AND($G$39:$K$39=FALSE)</formula>
    </cfRule>
  </conditionalFormatting>
  <conditionalFormatting sqref="C40:F41">
    <cfRule type="expression" dxfId="424" priority="8">
      <formula>AND($G$41:$I$41=FALSE)</formula>
    </cfRule>
  </conditionalFormatting>
  <pageMargins left="0.7" right="0.7" top="0.75" bottom="0.75" header="0.3" footer="0.3"/>
  <pageSetup paperSize="9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E A A B Q S w M E F A A C A A g A m E y L W d l A s T 2 l A A A A 9 g A A A B I A H A B D b 2 5 m a W c v U G F j a 2 F n Z S 5 4 b W w g o h g A K K A U A A A A A A A A A A A A A A A A A A A A A A A A A A A A h Y 9 B D o I w F E S v Q r q n L W C i k k + J c S u J i Y l x 2 5 Q K j V B M W y x 3 c + G R v I I Y R d 2 5 n D d v M X O / 3 i A f 2 i a 4 S G N V p z M U Y Y o C q U V X K l 1 l q H f H c I F y B l s u T r y S w S h r m w 6 2 z F D t 3 D k l x H u P f Y I 7 U 5 G Y 0 o g c i s 1 O 1 L L l 6 C O r / 3 K o t H V c C 4 k Y 7 F 9 j W I y j Z I a j + R J T I B O E Q u m v E I 9 7 n + 0 P h H X f u N 5 I d j R h s Q I y R S D v D + w B U E s D B B Q A A g A I A J h M i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T I t Z r W 3 A A O 8 B A A C r B g A A E w A c A E Z v c m 1 1 b G F z L 1 N l Y 3 R p b 2 4 x L m 0 g o h g A K K A U A A A A A A A A A A A A A A A A A A A A A A A A A A A A l V T R a u p A E H 0 X / I c l 5 X I V 0 l w K l 7 4 U H 1 q R t h c U U U s f R M o a R 7 r t Z j d 3 d l c s 4 g e 1 v + G P d W P U V Z O Y m o e E 7 J 4 9 Z 3 Z m z i g I N Z O C 9 N P v 1 U 2 1 U q 2 o V 4 o w I f f I O I e X U A o l O Z u s P o E 0 C A d d r R D 7 9 K X B M F l p z U P g Q d M g g t D P E t / H U r 7 X 6 o t h h 0 b Q 8 L I s 3 m g 5 b E q h L X z k p 2 Q X X k t c 6 t W X B k V i l J F R n m U e 0 D G H o G v / p Y Y H o B N A V U t 1 f T L c r N 9 y 3 g 8 p p 6 g a G g 2 M 6 j v K w U c M J J I T N m W r T 8 c 3 Q C r U V G L U l N x E I k G p W k 4 A / m L h N V 9 p z D S C 5 x O d s G m Y 6 6 V P 3 M a f n h k j + 2 + y i M 5 d Q N p 0 T t q 3 / 1 p P P b v 9 K P T 1 3 y C R 2 + 1 3 p V L M x l Q I a s 0 o D 7 L L v 8 h W 1 p 1 c q 1 P x c S j + 2 P m B e A F o L f 5 y d V p + e / Z A v i u F L T T S p K X U D q y 2 M G G i M e A G u Q e k b 0 Z p 2 y D K x v 4 G B r O 0 + W A m c s A u x D U X i d O Y k v 4 7 Q m 5 r W a D q i N Y 6 F z U + r f + E L D e q / c w Q B d y + + W + K a D v P 9 m h J f s I N 9 5 n 5 K T t 2 d H + X q Z P 8 + 7 Q F V y 2 L J v f Y U Q J J N y + a p X O 5 d b E U w t I p E 8 f I o k T E m b 0 H k Z x B 6 v T E 5 Y c z w T 8 n y v L r l 1 a 3 t J x n l D A 7 Y A p G y m 6 I Z K d C w R z Y c / 4 J K 5 d 6 t 9 S v b r w u 6 9 U K E y d L e v M N U E s B A i 0 A F A A C A A g A m E y L W d l A s T 2 l A A A A 9 g A A A B I A A A A A A A A A A A A A A A A A A A A A A E N v b m Z p Z y 9 Q Y W N r Y W d l L n h t b F B L A Q I t A B Q A A g A I A J h M i 1 k P y u m r p A A A A O k A A A A T A A A A A A A A A A A A A A A A A P E A A A B b Q 2 9 u d G V u d F 9 U e X B l c 1 0 u e G 1 s U E s B A i 0 A F A A C A A g A m E y L W a 1 t w A D v A Q A A q w Y A A B M A A A A A A A A A A A A A A A A A 4 g E A A E Z v c m 1 1 b G F z L 1 N l Y 3 R p b 2 4 x L m 1 Q S w U G A A A A A A M A A w D C A A A A H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B A A A A A A A A B O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3 J p b G x l X 2 N v b n N v b G l k J U M z J U E 5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5 N j J h O G V i L T g 5 N m Q t N D A 2 Y y 1 i M m U 2 L W R h Y m I 0 Y T E 5 M z E 0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F U M D g 6 M z U 6 M D Y u O T g 2 N j I w N 1 o i I C 8 + P E V u d H J 5 I F R 5 c G U 9 I k Z p b G x D b 2 x 1 b W 5 U e X B l c y I g V m F s d W U 9 I n N C Z 0 F B Q U F B Q U F B Q U E i I C 8 + P E V u d H J 5 I F R 5 c G U 9 I k Z p b G x D b 2 x 1 b W 5 O Y W 1 l c y I g V m F s d W U 9 I n N b J n F 1 b 3 Q 7 Q 2 h h c G l 0 c m U v U n V i c m l x d W U m c X V v d D s s J n F 1 b 3 Q 7 J S B S d W J y a X F 1 Z S B N Q U p F V V I m c X V v d D s s J n F 1 b 3 Q 7 J S B S d W J y a X F 1 Z S B N S U 5 F V V I m c X V v d D s s J n F 1 b 3 Q 7 U n V i c m l x d W U g T W F q Z X V y I H B v b m T D q X L D q W U m c X V v d D s s J n F 1 b 3 Q 7 Q 2 h h c G l 0 c m U g T W F q Z X V y J n F 1 b 3 Q 7 L C Z x d W 9 0 O 1 J 1 Y n J p c X V l I E 1 p b m V 1 c l x u c G 9 u Z M O p c s O p Z S Z x d W 9 0 O y w m c X V v d D t D a G F w a X R y Z S B N a W 5 l d X I m c X V v d D s s J n F 1 b 3 Q 7 Q 2 h h c G l 0 c m U g T W F q Z X V y I H B v b m T D q X L D q S Z x d W 9 0 O y w m c X V v d D t D a G F w a X R y Z S B N a W 5 l d X I g U G 9 u Z M O p c s O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p b G x l X 2 N v b n N v b G l k w 6 l l L 0 F 1 d G 9 S Z W 1 v d m V k Q 2 9 s d W 1 u c z E u e 0 N o Y X B p d H J l L 1 J 1 Y n J p c X V l L D B 9 J n F 1 b 3 Q 7 L C Z x d W 9 0 O 1 N l Y 3 R p b 2 4 x L 0 d y a W x s Z V 9 j b 2 5 z b 2 x p Z M O p Z S 9 B d X R v U m V t b 3 Z l Z E N v b H V t b n M x L n s l I F J 1 Y n J p c X V l I E 1 B S k V V U i w x f S Z x d W 9 0 O y w m c X V v d D t T Z W N 0 a W 9 u M S 9 H c m l s b G V f Y 2 9 u c 2 9 s a W T D q W U v Q X V 0 b 1 J l b W 9 2 Z W R D b 2 x 1 b W 5 z M S 5 7 J S B S d W J y a X F 1 Z S B N S U 5 F V V I s M n 0 m c X V v d D s s J n F 1 b 3 Q 7 U 2 V j d G l v b j E v R 3 J p b G x l X 2 N v b n N v b G l k w 6 l l L 0 F 1 d G 9 S Z W 1 v d m V k Q 2 9 s d W 1 u c z E u e 1 J 1 Y n J p c X V l I E 1 h a m V 1 c i B w b 2 5 k w 6 l y w 6 l l L D N 9 J n F 1 b 3 Q 7 L C Z x d W 9 0 O 1 N l Y 3 R p b 2 4 x L 0 d y a W x s Z V 9 j b 2 5 z b 2 x p Z M O p Z S 9 B d X R v U m V t b 3 Z l Z E N v b H V t b n M x L n t D a G F w a X R y Z S B N Y W p l d X I s N H 0 m c X V v d D s s J n F 1 b 3 Q 7 U 2 V j d G l v b j E v R 3 J p b G x l X 2 N v b n N v b G l k w 6 l l L 0 F 1 d G 9 S Z W 1 v d m V k Q 2 9 s d W 1 u c z E u e 1 J 1 Y n J p c X V l I E 1 p b m V 1 c l x u c G 9 u Z M O p c s O p Z S w 1 f S Z x d W 9 0 O y w m c X V v d D t T Z W N 0 a W 9 u M S 9 H c m l s b G V f Y 2 9 u c 2 9 s a W T D q W U v Q X V 0 b 1 J l b W 9 2 Z W R D b 2 x 1 b W 5 z M S 5 7 Q 2 h h c G l 0 c m U g T W l u Z X V y L D Z 9 J n F 1 b 3 Q 7 L C Z x d W 9 0 O 1 N l Y 3 R p b 2 4 x L 0 d y a W x s Z V 9 j b 2 5 z b 2 x p Z M O p Z S 9 B d X R v U m V t b 3 Z l Z E N v b H V t b n M x L n t D a G F w a X R y Z S B N Y W p l d X I g c G 9 u Z M O p c s O p L D d 9 J n F 1 b 3 Q 7 L C Z x d W 9 0 O 1 N l Y 3 R p b 2 4 x L 0 d y a W x s Z V 9 j b 2 5 z b 2 x p Z M O p Z S 9 B d X R v U m V t b 3 Z l Z E N v b H V t b n M x L n t D a G F w a X R y Z S B N a W 5 l d X I g U G 9 u Z M O p c s O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d y a W x s Z V 9 j b 2 5 z b 2 x p Z M O p Z S 9 B d X R v U m V t b 3 Z l Z E N v b H V t b n M x L n t D a G F w a X R y Z S 9 S d W J y a X F 1 Z S w w f S Z x d W 9 0 O y w m c X V v d D t T Z W N 0 a W 9 u M S 9 H c m l s b G V f Y 2 9 u c 2 9 s a W T D q W U v Q X V 0 b 1 J l b W 9 2 Z W R D b 2 x 1 b W 5 z M S 5 7 J S B S d W J y a X F 1 Z S B N Q U p F V V I s M X 0 m c X V v d D s s J n F 1 b 3 Q 7 U 2 V j d G l v b j E v R 3 J p b G x l X 2 N v b n N v b G l k w 6 l l L 0 F 1 d G 9 S Z W 1 v d m V k Q 2 9 s d W 1 u c z E u e y U g U n V i c m l x d W U g T U l O R V V S L D J 9 J n F 1 b 3 Q 7 L C Z x d W 9 0 O 1 N l Y 3 R p b 2 4 x L 0 d y a W x s Z V 9 j b 2 5 z b 2 x p Z M O p Z S 9 B d X R v U m V t b 3 Z l Z E N v b H V t b n M x L n t S d W J y a X F 1 Z S B N Y W p l d X I g c G 9 u Z M O p c s O p Z S w z f S Z x d W 9 0 O y w m c X V v d D t T Z W N 0 a W 9 u M S 9 H c m l s b G V f Y 2 9 u c 2 9 s a W T D q W U v Q X V 0 b 1 J l b W 9 2 Z W R D b 2 x 1 b W 5 z M S 5 7 Q 2 h h c G l 0 c m U g T W F q Z X V y L D R 9 J n F 1 b 3 Q 7 L C Z x d W 9 0 O 1 N l Y 3 R p b 2 4 x L 0 d y a W x s Z V 9 j b 2 5 z b 2 x p Z M O p Z S 9 B d X R v U m V t b 3 Z l Z E N v b H V t b n M x L n t S d W J y a X F 1 Z S B N a W 5 l d X J c b n B v b m T D q X L D q W U s N X 0 m c X V v d D s s J n F 1 b 3 Q 7 U 2 V j d G l v b j E v R 3 J p b G x l X 2 N v b n N v b G l k w 6 l l L 0 F 1 d G 9 S Z W 1 v d m V k Q 2 9 s d W 1 u c z E u e 0 N o Y X B p d H J l I E 1 p b m V 1 c i w 2 f S Z x d W 9 0 O y w m c X V v d D t T Z W N 0 a W 9 u M S 9 H c m l s b G V f Y 2 9 u c 2 9 s a W T D q W U v Q X V 0 b 1 J l b W 9 2 Z W R D b 2 x 1 b W 5 z M S 5 7 Q 2 h h c G l 0 c m U g T W F q Z X V y I H B v b m T D q X L D q S w 3 f S Z x d W 9 0 O y w m c X V v d D t T Z W N 0 a W 9 u M S 9 H c m l s b G V f Y 2 9 u c 2 9 s a W T D q W U v Q X V 0 b 1 J l b W 9 2 Z W R D b 2 x 1 b W 5 z M S 5 7 Q 2 h h c G l 0 c m U g T W l u Z X V y I F B v b m T D q X L D q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3 J p b G x l X 2 N v b n N v b G l k J U M z J U E 5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l s b G V f Y 2 9 u c 2 9 s a W Q l Q z M l Q T l l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l s b G V f Y 2 9 u c 2 9 s a W Q l Q z M l Q T l l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l s b G V f Y 2 9 u c 2 9 s a W Q l Q z M l Q T l l L 0 N v b G 9 u b m V z J T I w c 3 V w c H J p b S V D M y V B O W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/ s i A K A a G V A i m E N O U 9 o k e s A A A A A A g A A A A A A E G Y A A A A B A A A g A A A A 1 R 3 + V k O x H B t x / s L i O a U X N 5 n 8 u v m L b H 4 u z 0 y 1 G 9 8 1 A + 0 A A A A A D o A A A A A C A A A g A A A A I c a u R n l F b 5 Z p o J j 6 M n t s x c y l a T r d 3 L L p 5 T i B E y e u x N N Q A A A A 1 / n p B u O v 0 o W 6 g p B z B 5 G R b O w / c x Z P T + t P 9 6 Q 1 9 i G f z r 2 v F v v 0 h L e H 3 Y h v P J 0 g x X a F / O S a p i I w S S + B v P 7 h k r 3 B + 6 e w 8 e p B L P 9 8 h E x 4 o 0 E I M S 9 A A A A A 3 I u z Z G Z b h D 5 4 n v 0 t S y a B W K x d g i O B 7 Y m X 1 5 U 6 3 j E C w 7 9 t r H T 7 8 F 0 g O 7 V Q O D Q + T S 0 q J b A c u 3 c S T w J x K T B j d Y K V N A = = < / D a t a M a s h u p > 
</file>

<file path=customXml/itemProps1.xml><?xml version="1.0" encoding="utf-8"?>
<ds:datastoreItem xmlns:ds="http://schemas.openxmlformats.org/officeDocument/2006/customXml" ds:itemID="{3A336277-24FA-43ED-A8D3-D5AD383199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51</vt:i4>
      </vt:variant>
      <vt:variant>
        <vt:lpstr>Plages nommées</vt:lpstr>
      </vt:variant>
      <vt:variant>
        <vt:i4>43</vt:i4>
      </vt:variant>
    </vt:vector>
  </HeadingPairs>
  <TitlesOfParts>
    <vt:vector size="94" baseType="lpstr">
      <vt:lpstr>Accueil</vt:lpstr>
      <vt:lpstr>Identification</vt:lpstr>
      <vt:lpstr>Manuel d'utilisation</vt:lpstr>
      <vt:lpstr>Liste des chapitres</vt:lpstr>
      <vt:lpstr>Résultats</vt:lpstr>
      <vt:lpstr>Information_et_réservation</vt:lpstr>
      <vt:lpstr>Extérieur</vt:lpstr>
      <vt:lpstr>Accueil_et_réception_1</vt:lpstr>
      <vt:lpstr>Accueil_et_réception_2</vt:lpstr>
      <vt:lpstr>Accueil_et_réception_3</vt:lpstr>
      <vt:lpstr>Sanitaires_publiques</vt:lpstr>
      <vt:lpstr>Circulation</vt:lpstr>
      <vt:lpstr>Petit_déjeuner</vt:lpstr>
      <vt:lpstr>Restaurant_principal</vt:lpstr>
      <vt:lpstr>Restaurant_thématique</vt:lpstr>
      <vt:lpstr>Bar</vt:lpstr>
      <vt:lpstr>Salle_de_séminaires</vt:lpstr>
      <vt:lpstr>Bien_être_et_fitness_1</vt:lpstr>
      <vt:lpstr>Bien_être_et_fitness_2</vt:lpstr>
      <vt:lpstr>Piscine_extérieure_1</vt:lpstr>
      <vt:lpstr>Piscine_extérieure_2</vt:lpstr>
      <vt:lpstr>Piscine_pour_enfants</vt:lpstr>
      <vt:lpstr>Autres_animations</vt:lpstr>
      <vt:lpstr>Boutique</vt:lpstr>
      <vt:lpstr>Espaces_dhabitation_1</vt:lpstr>
      <vt:lpstr>Espaces_dhabitation_2</vt:lpstr>
      <vt:lpstr>Espaces_dhabitation_3</vt:lpstr>
      <vt:lpstr>Espaces_dhabitation_4</vt:lpstr>
      <vt:lpstr>SDB_1</vt:lpstr>
      <vt:lpstr>SDB_2</vt:lpstr>
      <vt:lpstr>SDB_3</vt:lpstr>
      <vt:lpstr>Personnel</vt:lpstr>
      <vt:lpstr>EEA</vt:lpstr>
      <vt:lpstr>Grille</vt:lpstr>
      <vt:lpstr>Grille_HT5</vt:lpstr>
      <vt:lpstr>Grille_HT4</vt:lpstr>
      <vt:lpstr>Grille_HT3</vt:lpstr>
      <vt:lpstr>Grille_HT2</vt:lpstr>
      <vt:lpstr>Grille_HT1</vt:lpstr>
      <vt:lpstr>Résultats_5_étoiles</vt:lpstr>
      <vt:lpstr>Résultats_4_étoiles</vt:lpstr>
      <vt:lpstr>Résultats_3_étoiles</vt:lpstr>
      <vt:lpstr>Résultats_2_étoiles</vt:lpstr>
      <vt:lpstr>Résultats_1_étoiles</vt:lpstr>
      <vt:lpstr>Chapitres_Majeurs</vt:lpstr>
      <vt:lpstr>Chapitres_Mineurs</vt:lpstr>
      <vt:lpstr>Backend_5</vt:lpstr>
      <vt:lpstr>Backend_4</vt:lpstr>
      <vt:lpstr>Backend_3</vt:lpstr>
      <vt:lpstr>Backend_2</vt:lpstr>
      <vt:lpstr>Backend_1</vt:lpstr>
      <vt:lpstr>Grille_HT1!Grille_consolidée</vt:lpstr>
      <vt:lpstr>Grille_HT2!Grille_consolidée</vt:lpstr>
      <vt:lpstr>Grille_HT3!Grille_consolidée</vt:lpstr>
      <vt:lpstr>Grille_HT4!Grille_consolidée</vt:lpstr>
      <vt:lpstr>Grille_consolidée</vt:lpstr>
      <vt:lpstr>grille_ht1</vt:lpstr>
      <vt:lpstr>grille_ht2</vt:lpstr>
      <vt:lpstr>grille_ht3</vt:lpstr>
      <vt:lpstr>grille_ht4</vt:lpstr>
      <vt:lpstr>grille_ht5</vt:lpstr>
      <vt:lpstr>Accueil!Zone_d_impression</vt:lpstr>
      <vt:lpstr>Accueil_et_réception_1!Zone_d_impression</vt:lpstr>
      <vt:lpstr>Accueil_et_réception_2!Zone_d_impression</vt:lpstr>
      <vt:lpstr>Accueil_et_réception_3!Zone_d_impression</vt:lpstr>
      <vt:lpstr>Autres_animations!Zone_d_impression</vt:lpstr>
      <vt:lpstr>Bar!Zone_d_impression</vt:lpstr>
      <vt:lpstr>Bien_être_et_fitness_1!Zone_d_impression</vt:lpstr>
      <vt:lpstr>Bien_être_et_fitness_2!Zone_d_impression</vt:lpstr>
      <vt:lpstr>Boutique!Zone_d_impression</vt:lpstr>
      <vt:lpstr>Circulation!Zone_d_impression</vt:lpstr>
      <vt:lpstr>EEA!Zone_d_impression</vt:lpstr>
      <vt:lpstr>Espaces_dhabitation_2!Zone_d_impression</vt:lpstr>
      <vt:lpstr>Espaces_dhabitation_3!Zone_d_impression</vt:lpstr>
      <vt:lpstr>Grille!Zone_d_impression</vt:lpstr>
      <vt:lpstr>Identification!Zone_d_impression</vt:lpstr>
      <vt:lpstr>Information_et_réservation!Zone_d_impression</vt:lpstr>
      <vt:lpstr>Personnel!Zone_d_impression</vt:lpstr>
      <vt:lpstr>Petit_déjeuner!Zone_d_impression</vt:lpstr>
      <vt:lpstr>Piscine_extérieure_2!Zone_d_impression</vt:lpstr>
      <vt:lpstr>Piscine_pour_enfants!Zone_d_impression</vt:lpstr>
      <vt:lpstr>Restaurant_principal!Zone_d_impression</vt:lpstr>
      <vt:lpstr>Restaurant_thématique!Zone_d_impression</vt:lpstr>
      <vt:lpstr>Résultats!Zone_d_impression</vt:lpstr>
      <vt:lpstr>Résultats_1_étoiles!Zone_d_impression</vt:lpstr>
      <vt:lpstr>Résultats_2_étoiles!Zone_d_impression</vt:lpstr>
      <vt:lpstr>Résultats_3_étoiles!Zone_d_impression</vt:lpstr>
      <vt:lpstr>Résultats_4_étoiles!Zone_d_impression</vt:lpstr>
      <vt:lpstr>Résultats_5_étoiles!Zone_d_impression</vt:lpstr>
      <vt:lpstr>Salle_de_séminaires!Zone_d_impression</vt:lpstr>
      <vt:lpstr>Sanitaires_publiques!Zone_d_impression</vt:lpstr>
      <vt:lpstr>SDB_1!Zone_d_impression</vt:lpstr>
      <vt:lpstr>SDB_2!Zone_d_impression</vt:lpstr>
      <vt:lpstr>SDB_3!Zone_d_impression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Abdelilah LAHCHIMI</dc:creator>
  <cp:keywords/>
  <dc:description/>
  <cp:lastModifiedBy>Zouhair HMAMI</cp:lastModifiedBy>
  <cp:revision/>
  <cp:lastPrinted>2026-02-11T11:01:56Z</cp:lastPrinted>
  <dcterms:created xsi:type="dcterms:W3CDTF">2017-03-11T12:31:45Z</dcterms:created>
  <dcterms:modified xsi:type="dcterms:W3CDTF">2026-02-11T11:02:08Z</dcterms:modified>
  <cp:category/>
  <cp:contentStatus/>
</cp:coreProperties>
</file>